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80" yWindow="65516" windowWidth="27420" windowHeight="21360" tabRatio="959" activeTab="9"/>
  </bookViews>
  <sheets>
    <sheet name="Introduction" sheetId="1" r:id="rId1"/>
    <sheet name="1 Inputs" sheetId="2" r:id="rId2"/>
    <sheet name="2 Cow Calf Phase" sheetId="3" r:id="rId3"/>
    <sheet name="3 Grassing Yearling Phase" sheetId="4" r:id="rId4"/>
    <sheet name="4 Forage Finishing Phase" sheetId="5" r:id="rId5"/>
    <sheet name="5 Marketing Estimate" sheetId="6" r:id="rId6"/>
    <sheet name="6  Forage Establishment" sheetId="7" r:id="rId7"/>
    <sheet name="7 Forage Production" sheetId="8" r:id="rId8"/>
    <sheet name="8 Pasture Fencing" sheetId="9" r:id="rId9"/>
    <sheet name="9 Profit &amp; Loss" sheetId="10" r:id="rId10"/>
    <sheet name="Summary" sheetId="11" state="hidden" r:id="rId11"/>
  </sheets>
  <definedNames>
    <definedName name="_xlnm.Print_Area" localSheetId="1">'1 Inputs'!$B$6:$J$50</definedName>
    <definedName name="_xlnm.Print_Area" localSheetId="2">'2 Cow Calf Phase'!$B$6:$J$118</definedName>
    <definedName name="_xlnm.Print_Area" localSheetId="3">'3 Grassing Yearling Phase'!$B$6:$J$42</definedName>
    <definedName name="_xlnm.Print_Area" localSheetId="4">'4 Forage Finishing Phase'!$B$6:$J$53</definedName>
    <definedName name="_xlnm.Print_Area" localSheetId="5">'5 Marketing Estimate'!$B$6:$H$47</definedName>
    <definedName name="_xlnm.Print_Area" localSheetId="6">'6  Forage Establishment'!$B$6:$J$90</definedName>
    <definedName name="_xlnm.Print_Area" localSheetId="7">'7 Forage Production'!$B$6:$I$84</definedName>
    <definedName name="_xlnm.Print_Area" localSheetId="8">'8 Pasture Fencing'!$B$6:$K$105</definedName>
    <definedName name="_xlnm.Print_Area" localSheetId="9">'9 Profit &amp; Loss'!$B$6:$J$50</definedName>
    <definedName name="_xlnm.Print_Area" localSheetId="0">'Introduction'!$B$2:$H$25</definedName>
    <definedName name="PRINT_AREA_MI">#REF!</definedName>
  </definedNames>
  <calcPr fullCalcOnLoad="1"/>
</workbook>
</file>

<file path=xl/sharedStrings.xml><?xml version="1.0" encoding="utf-8"?>
<sst xmlns="http://schemas.openxmlformats.org/spreadsheetml/2006/main" count="1110" uniqueCount="612">
  <si>
    <t>Net (retail value - costs)</t>
  </si>
  <si>
    <t>1: For.age would be high quality perennial grass/legume pasture.</t>
  </si>
  <si>
    <t>Replacement heifers (% of Cows)</t>
  </si>
  <si>
    <t>Wt (lbs)</t>
  </si>
  <si>
    <t>Feeder/stocker phase</t>
  </si>
  <si>
    <t>Grass feeding &amp; finishing</t>
  </si>
  <si>
    <t>Extended grazing</t>
  </si>
  <si>
    <t>T-Bone</t>
  </si>
  <si>
    <t>$ per lb</t>
  </si>
  <si>
    <t>1: Forage species:</t>
  </si>
  <si>
    <t>Total lbs</t>
  </si>
  <si>
    <t>2: Cover crop:</t>
  </si>
  <si>
    <t>Annual rye grass</t>
  </si>
  <si>
    <t>lbs/acre:</t>
  </si>
  <si>
    <t>Round bales per head</t>
  </si>
  <si>
    <t>Herd health</t>
  </si>
  <si>
    <t>Purchased forage (deduct from total)</t>
  </si>
  <si>
    <t>Capital costs</t>
  </si>
  <si>
    <t>Number of days</t>
  </si>
  <si>
    <t>Tota forage Tons DM</t>
  </si>
  <si>
    <t>Bulls (1 bull/25 cows)</t>
  </si>
  <si>
    <t>Extended grazing (all animals)</t>
  </si>
  <si>
    <t>No. Head</t>
  </si>
  <si>
    <t>Acres Required</t>
  </si>
  <si>
    <t>Tons Forage</t>
  </si>
  <si>
    <t xml:space="preserve">Pasture - Spring to mid-summer </t>
  </si>
  <si>
    <t>Mixture of oats, Italian rye grass</t>
  </si>
  <si>
    <t>3: High quality dry hay available at pasture turnout to insure DM intake.</t>
  </si>
  <si>
    <t>1: Assume - use of seeded annual forages such as Italian rye grass or green leaf corn.</t>
  </si>
  <si>
    <t>2: Use of custom seeding to establish annuals.</t>
  </si>
  <si>
    <t>3: Use of supplemental vegetable energy sources for final finishing - if required.</t>
  </si>
  <si>
    <t>Total annual costs</t>
  </si>
  <si>
    <t>Early summer (Steers)</t>
  </si>
  <si>
    <t>DM Tons</t>
  </si>
  <si>
    <t>f) Taxes/rent</t>
  </si>
  <si>
    <t xml:space="preserve">Daily intake % </t>
  </si>
  <si>
    <t>Early summer (Steers)</t>
  </si>
  <si>
    <t>6: Mineral and salt: $/bag /880 oz x oz/hd per day x # days.</t>
  </si>
  <si>
    <t>* WBDC estimates</t>
  </si>
  <si>
    <t>reed canary</t>
  </si>
  <si>
    <t>orchard</t>
  </si>
  <si>
    <t>5: Other establishment costs:</t>
  </si>
  <si>
    <t>Forage seeding:</t>
  </si>
  <si>
    <t>Cover crop:</t>
  </si>
  <si>
    <t>Total establishment</t>
  </si>
  <si>
    <t>7: Annual cost:</t>
  </si>
  <si>
    <t>Total annual cost:</t>
  </si>
  <si>
    <t>1: Seed mixture suggested should be suited  for both grazing and hay production.</t>
  </si>
  <si>
    <t>2: Cover crop to be removed at heading to avoid excessive competition.</t>
  </si>
  <si>
    <t>1: Harvest first crop of oats at heading or graze at 6" high.</t>
  </si>
  <si>
    <t>2: Use a rest/rotational system to allow for regrowth of grazed forage.</t>
  </si>
  <si>
    <t>Other establishment costs:</t>
  </si>
  <si>
    <t>$ per lb (rail)</t>
  </si>
  <si>
    <t>(cost x yield wt)</t>
  </si>
  <si>
    <t>Total retail value</t>
  </si>
  <si>
    <t>Pasture - Rep. Heifers</t>
  </si>
  <si>
    <t>Winter - Stored forage</t>
  </si>
  <si>
    <t>b: Solar panels</t>
  </si>
  <si>
    <t>Fertility:</t>
  </si>
  <si>
    <t>Tractor 1:</t>
  </si>
  <si>
    <t>c: Digital voltmeter</t>
  </si>
  <si>
    <t>2: Assume a "follow the leader" grazing system with the feeders first followed by the cow herd.</t>
  </si>
  <si>
    <t>Total processing cost</t>
  </si>
  <si>
    <t>Rib roast</t>
  </si>
  <si>
    <t>Rump roast</t>
  </si>
  <si>
    <t>Land base available (acres)</t>
  </si>
  <si>
    <t>Annual pasture</t>
  </si>
  <si>
    <t>Stored forage</t>
  </si>
  <si>
    <t>Purchased forage (tons DM)</t>
  </si>
  <si>
    <t xml:space="preserve">Daily intake % </t>
  </si>
  <si>
    <t>Grass finishers</t>
  </si>
  <si>
    <t>4: Weed control</t>
  </si>
  <si>
    <t>6: Total capital cost:</t>
  </si>
  <si>
    <t>Cost /acre</t>
  </si>
  <si>
    <t>Cost/ton (excluding management):</t>
  </si>
  <si>
    <t>Pasture - rep. heifers</t>
  </si>
  <si>
    <r>
      <t>2. Grassing Yearlings Phase</t>
    </r>
    <r>
      <rPr>
        <sz val="11"/>
        <rFont val="Calibri"/>
        <family val="2"/>
      </rPr>
      <t xml:space="preserve"> - Includes: use of high quality grass/legume forages and winter feeding and early summer grazing.</t>
    </r>
  </si>
  <si>
    <t>Grass feeders (calves-heifers)</t>
  </si>
  <si>
    <t xml:space="preserve">Feeder/stockers </t>
  </si>
  <si>
    <t>lbs/day</t>
  </si>
  <si>
    <t>Winter feeding (ST &amp; H)</t>
  </si>
  <si>
    <t>Total days</t>
  </si>
  <si>
    <t>Cost to finish</t>
  </si>
  <si>
    <t>2: Fixed Costs</t>
  </si>
  <si>
    <t>Barley silage costs - MAFRI - March 2008</t>
  </si>
  <si>
    <t>SK custom rental rates</t>
  </si>
  <si>
    <t>1: This feed would be used for swath grazing for the maintenance animals.</t>
  </si>
  <si>
    <t>2: Seeding would be with the use of custom seed contractors.</t>
  </si>
  <si>
    <t>3: Costs estimated here are for production costs only, not for animal costs or management.</t>
  </si>
  <si>
    <t>4: Costs obtained from MAFRI &amp; Western Beef Development Centre Web sites.</t>
  </si>
  <si>
    <t>5: Assume crop to be grown is barley seeded in May or early June - use of barley and winter annual (fall rye).</t>
  </si>
  <si>
    <t>Pasture - Cow/calf (w/bulls)</t>
  </si>
  <si>
    <t>I have hidden the other columns</t>
  </si>
  <si>
    <t>Grass feeders (calves-heifers)</t>
  </si>
  <si>
    <t>lbs/day</t>
  </si>
  <si>
    <t>Pasture - Rep. heifers</t>
  </si>
  <si>
    <t>Winter feeding (ST &amp; H)</t>
  </si>
  <si>
    <t>Finishing phase</t>
  </si>
  <si>
    <t>Potential returns</t>
  </si>
  <si>
    <t>Net return per head (Note: total labor cost included in cost of production)</t>
  </si>
  <si>
    <t>4. Forage Finishing Phase</t>
  </si>
  <si>
    <t xml:space="preserve">Total production, processing and marketing costs </t>
  </si>
  <si>
    <t>Seeds/ft2</t>
  </si>
  <si>
    <t>Total production, processing and marketing costs</t>
  </si>
  <si>
    <t>Net return per head</t>
  </si>
  <si>
    <t>1: Forage Production:</t>
  </si>
  <si>
    <t xml:space="preserve"> wires</t>
  </si>
  <si>
    <t>alfalfa</t>
  </si>
  <si>
    <t>a: Wire:</t>
  </si>
  <si>
    <t>Ft/roll</t>
  </si>
  <si>
    <t>Cost/roll</t>
  </si>
  <si>
    <t>trefoil</t>
  </si>
  <si>
    <t>/acre</t>
  </si>
  <si>
    <t>Replacement heifers</t>
  </si>
  <si>
    <t>Herd investment</t>
  </si>
  <si>
    <t>Total investment</t>
  </si>
  <si>
    <t>Taxes or rent/acre</t>
  </si>
  <si>
    <t>Pasture establishment - cost/acre</t>
  </si>
  <si>
    <t>Days grazing</t>
  </si>
  <si>
    <t xml:space="preserve">Stored forage feed </t>
  </si>
  <si>
    <t xml:space="preserve">       a: List Equipment</t>
  </si>
  <si>
    <t xml:space="preserve">   Herbicides:</t>
  </si>
  <si>
    <t>Line</t>
  </si>
  <si>
    <t>Haybine/swather</t>
  </si>
  <si>
    <t>Bale Mover</t>
  </si>
  <si>
    <t>Trailers</t>
  </si>
  <si>
    <t>Management</t>
  </si>
  <si>
    <t>of grazing days</t>
  </si>
  <si>
    <t>Note: Winter feeding system - high quality forage, fed as bale grazing</t>
  </si>
  <si>
    <t>Purchased forage - tons DM (deduct from total)</t>
  </si>
  <si>
    <t>Cow/Calf phase</t>
  </si>
  <si>
    <t>b: Posts:</t>
  </si>
  <si>
    <t xml:space="preserve"> Spacing</t>
  </si>
  <si>
    <t>Cost/post</t>
  </si>
  <si>
    <t>timothy</t>
  </si>
  <si>
    <t>c: Braces</t>
  </si>
  <si>
    <t>: Number</t>
  </si>
  <si>
    <t>Posts/unit</t>
  </si>
  <si>
    <t>meadow brome</t>
  </si>
  <si>
    <t>Barley silage costs - MAFRI - March 2008</t>
  </si>
  <si>
    <t>SK custom rental rates</t>
  </si>
  <si>
    <t>Animal death loss - % of total annual costs</t>
  </si>
  <si>
    <t>Cost per head per day finishing</t>
  </si>
  <si>
    <t>Total cost per head per day for finishing</t>
  </si>
  <si>
    <t>Cut/wrap</t>
  </si>
  <si>
    <t>Marketing &amp; Delivery (your labour)</t>
  </si>
  <si>
    <t>Annual cost/acre:</t>
  </si>
  <si>
    <t>a) Round bales(hay)</t>
  </si>
  <si>
    <t>b) Silage bales</t>
  </si>
  <si>
    <t>c) Square bales</t>
  </si>
  <si>
    <t>d) Chopped silage</t>
  </si>
  <si>
    <t>Total harvest acres</t>
  </si>
  <si>
    <t xml:space="preserve">         lbs/acre:</t>
  </si>
  <si>
    <t>b) Pesticides (weeds,insects)</t>
  </si>
  <si>
    <t>Round baler</t>
  </si>
  <si>
    <t>Square baler</t>
  </si>
  <si>
    <t>Bale wagon</t>
  </si>
  <si>
    <t>1: Perimeter fencing:</t>
  </si>
  <si>
    <t xml:space="preserve">2: Cross fencing:  </t>
  </si>
  <si>
    <t xml:space="preserve"> Wires electrified</t>
  </si>
  <si>
    <t>Corner</t>
  </si>
  <si>
    <t>4: Electric fencing supplies:</t>
  </si>
  <si>
    <t>6: Water facilities</t>
  </si>
  <si>
    <t>6: Handling facilities</t>
  </si>
  <si>
    <t>Capital cost:</t>
  </si>
  <si>
    <t>Total capital</t>
  </si>
  <si>
    <t>Summary of fencing equipment:</t>
  </si>
  <si>
    <t>Total annual cost:</t>
  </si>
  <si>
    <t>Bulls (1 bull/25 cows)</t>
  </si>
  <si>
    <t>Extended grazing (all animals)</t>
  </si>
  <si>
    <t>2: Interest rate</t>
  </si>
  <si>
    <t xml:space="preserve"> Acres fenced (from worksheet #1)</t>
  </si>
  <si>
    <r>
      <rPr>
        <b/>
        <sz val="11"/>
        <rFont val="Calibri"/>
        <family val="2"/>
      </rPr>
      <t xml:space="preserve">1. Cow Calf Phase - </t>
    </r>
    <r>
      <rPr>
        <sz val="11"/>
        <rFont val="Calibri"/>
        <family val="2"/>
      </rPr>
      <t>Production costs for the weaned calf may include management systems such as: use of low cost forages, extended grazing systems and swath and bale grazing systems.</t>
    </r>
  </si>
  <si>
    <t>Summary</t>
  </si>
  <si>
    <t>for the summary we need column a and column i</t>
  </si>
  <si>
    <t xml:space="preserve"> lbs/ac</t>
  </si>
  <si>
    <t>Total</t>
  </si>
  <si>
    <t>Cost/lb</t>
  </si>
  <si>
    <t xml:space="preserve">Custom seeding </t>
  </si>
  <si>
    <t xml:space="preserve"> Cost/lb</t>
  </si>
  <si>
    <t>Total retail value</t>
  </si>
  <si>
    <t>Cost to finish</t>
  </si>
  <si>
    <t>Early summer (steers)</t>
  </si>
  <si>
    <t>Total pasture</t>
  </si>
  <si>
    <t>Pasture days</t>
  </si>
  <si>
    <t>Winter feeding</t>
  </si>
  <si>
    <t>tons @</t>
  </si>
  <si>
    <t>per ton</t>
  </si>
  <si>
    <t>Straw - purchased</t>
  </si>
  <si>
    <t>per bale</t>
  </si>
  <si>
    <t>Weed control;</t>
  </si>
  <si>
    <t>Tractor 2:</t>
  </si>
  <si>
    <t>d: Lightning diverter</t>
  </si>
  <si>
    <t>Tractor 3:</t>
  </si>
  <si>
    <t>e: Underground gate wire</t>
  </si>
  <si>
    <t>Other</t>
  </si>
  <si>
    <t>Cost/ft</t>
  </si>
  <si>
    <t>Equipment interest:</t>
  </si>
  <si>
    <t>TOTAL:</t>
  </si>
  <si>
    <t>Pasture fencing, equipment-cost/acre</t>
  </si>
  <si>
    <t>Cost weaned calf</t>
  </si>
  <si>
    <t>Annual costs</t>
  </si>
  <si>
    <t>Stored forage (high quality) - tons DM</t>
  </si>
  <si>
    <t>per ton(forage worksheet)</t>
  </si>
  <si>
    <t>Hydro</t>
  </si>
  <si>
    <t>Weaning rate % (calves available)</t>
  </si>
  <si>
    <t>Cow/calf phase</t>
  </si>
  <si>
    <t>Pasture - extended grazing</t>
  </si>
  <si>
    <t>Winter - stored Forage</t>
  </si>
  <si>
    <t>Number of head involved</t>
  </si>
  <si>
    <t>Estimated DM forage required</t>
  </si>
  <si>
    <t>head</t>
  </si>
  <si>
    <t>DM.</t>
  </si>
  <si>
    <t>T/acre</t>
  </si>
  <si>
    <t xml:space="preserve">Total DM </t>
  </si>
  <si>
    <t>(Tons)</t>
  </si>
  <si>
    <t>Annual</t>
  </si>
  <si>
    <t>years</t>
  </si>
  <si>
    <r>
      <t>3. Forage Finishing Phase</t>
    </r>
    <r>
      <rPr>
        <sz val="11"/>
        <rFont val="Calibri"/>
        <family val="2"/>
      </rPr>
      <t xml:space="preserve"> - Includes: use of high quality/energy forages for finishing and use of non-starch feeds to retain a health advantage of grass fed beef.</t>
    </r>
  </si>
  <si>
    <t>Death loss as % of investment</t>
  </si>
  <si>
    <t>$ per Hr</t>
  </si>
  <si>
    <t/>
  </si>
  <si>
    <t>Annual &amp; Operating Costs:</t>
  </si>
  <si>
    <t xml:space="preserve">  Sheds:</t>
  </si>
  <si>
    <t>Operating costs</t>
  </si>
  <si>
    <t xml:space="preserve">  Tarps:</t>
  </si>
  <si>
    <t xml:space="preserve">  Silos:</t>
  </si>
  <si>
    <t>2: Energy costs at $.50/mile</t>
  </si>
  <si>
    <t xml:space="preserve">  Other:</t>
  </si>
  <si>
    <t>3: Interest on operating at</t>
  </si>
  <si>
    <t>% on 1/2 operating costs</t>
  </si>
  <si>
    <t>Forage Summary:</t>
  </si>
  <si>
    <t>Forage Harvested:</t>
  </si>
  <si>
    <t xml:space="preserve"> acres:</t>
  </si>
  <si>
    <t xml:space="preserve"> Tons:</t>
  </si>
  <si>
    <t>Fixed costs</t>
  </si>
  <si>
    <t>Units</t>
  </si>
  <si>
    <t>Years</t>
  </si>
  <si>
    <t>Use</t>
  </si>
  <si>
    <t>Tons</t>
  </si>
  <si>
    <t>Covered</t>
  </si>
  <si>
    <t>Cost</t>
  </si>
  <si>
    <t>Number rolls wire</t>
  </si>
  <si>
    <t>Number of posts</t>
  </si>
  <si>
    <t>Number units</t>
  </si>
  <si>
    <t>b: Post spacing (ft)</t>
  </si>
  <si>
    <t>$/unit</t>
  </si>
  <si>
    <t xml:space="preserve">3: Alleyways:  </t>
  </si>
  <si>
    <t>Gate width(ft)</t>
  </si>
  <si>
    <t>Gates</t>
  </si>
  <si>
    <t>Wire (ft/roll)</t>
  </si>
  <si>
    <t>per roll</t>
  </si>
  <si>
    <t xml:space="preserve"> Wire:</t>
  </si>
  <si>
    <t>rolls</t>
  </si>
  <si>
    <t xml:space="preserve"> Posts:</t>
  </si>
  <si>
    <t>f: Other equipment</t>
  </si>
  <si>
    <t>Total $</t>
  </si>
  <si>
    <t>Initial</t>
  </si>
  <si>
    <t>Final</t>
  </si>
  <si>
    <t>Pasture</t>
  </si>
  <si>
    <t>Winter</t>
  </si>
  <si>
    <t>Tons DM</t>
  </si>
  <si>
    <t>4: Mixture could be grazed in year of seeding provided sufficient moisture and good grazing management.</t>
  </si>
  <si>
    <t xml:space="preserve">Acres in forage </t>
  </si>
  <si>
    <t>Reference: Saskatchewan Custom Rate Guide</t>
  </si>
  <si>
    <t>Reference</t>
  </si>
  <si>
    <t>Custom swathing</t>
  </si>
  <si>
    <t>lbs per day</t>
  </si>
  <si>
    <t>WBDC estimates</t>
  </si>
  <si>
    <t>(25-35 seeds/sq. ft is ideal - allow higher rates if poor seed bed conditions)</t>
  </si>
  <si>
    <t>Acres:</t>
  </si>
  <si>
    <t xml:space="preserve">   lbs/ac</t>
  </si>
  <si>
    <t xml:space="preserve">   Total:</t>
  </si>
  <si>
    <t>Pasture finishing</t>
  </si>
  <si>
    <t>No. Days</t>
  </si>
  <si>
    <t>Daily Gain</t>
  </si>
  <si>
    <t xml:space="preserve">Cost per acre </t>
  </si>
  <si>
    <t>Acres required</t>
  </si>
  <si>
    <t>Cost/day/hd</t>
  </si>
  <si>
    <t>2: Operating costs:</t>
  </si>
  <si>
    <t xml:space="preserve">      a) Fertilizer</t>
  </si>
  <si>
    <t>Oats</t>
  </si>
  <si>
    <t xml:space="preserve">         Cost/lb:</t>
  </si>
  <si>
    <t xml:space="preserve">     Line(one/post/wire)</t>
  </si>
  <si>
    <t>3: Fertility:</t>
  </si>
  <si>
    <t>3: Harvesting and storage:</t>
  </si>
  <si>
    <t>Cost/acre:</t>
  </si>
  <si>
    <t>Cost of feeder</t>
  </si>
  <si>
    <t>Total cost per head</t>
  </si>
  <si>
    <t xml:space="preserve">SubTotal </t>
  </si>
  <si>
    <t>#1</t>
  </si>
  <si>
    <t>Establishment.</t>
  </si>
  <si>
    <t xml:space="preserve">Revenue Estimate - Direct Market (Retail) </t>
  </si>
  <si>
    <t>Purchased hay</t>
  </si>
  <si>
    <t>3: Annual rye grass in the mixture should provide for a good second cut.</t>
  </si>
  <si>
    <t>Processing and marketing</t>
  </si>
  <si>
    <t>Potential Returns</t>
  </si>
  <si>
    <t>Potential retail value</t>
  </si>
  <si>
    <t>Feeder/Stocker Phase</t>
  </si>
  <si>
    <t>Finishing Phase</t>
  </si>
  <si>
    <t>Stored Forage</t>
  </si>
  <si>
    <t xml:space="preserve">Beef cow herd </t>
  </si>
  <si>
    <t>Intake</t>
  </si>
  <si>
    <t>Date on</t>
  </si>
  <si>
    <t>d: Insulators</t>
  </si>
  <si>
    <t>wires electrified</t>
  </si>
  <si>
    <t>tall fescue</t>
  </si>
  <si>
    <t>Total:</t>
  </si>
  <si>
    <t xml:space="preserve">     Line</t>
  </si>
  <si>
    <t>Cost/unit</t>
  </si>
  <si>
    <t>creeping red fescue</t>
  </si>
  <si>
    <t xml:space="preserve">     corner</t>
  </si>
  <si>
    <t>e: Tighteners:</t>
  </si>
  <si>
    <t>Number</t>
  </si>
  <si>
    <t>Pasture - Extended grazing</t>
  </si>
  <si>
    <t>Fly control</t>
  </si>
  <si>
    <t>(Must match production within 10%)</t>
  </si>
  <si>
    <t xml:space="preserve">Finishing yearlings </t>
  </si>
  <si>
    <t>Average</t>
  </si>
  <si>
    <t>Forage used</t>
  </si>
  <si>
    <t>Total Days</t>
  </si>
  <si>
    <t>Grass Feeding &amp; Finishing</t>
  </si>
  <si>
    <t xml:space="preserve">Feeder/Stockers </t>
  </si>
  <si>
    <t xml:space="preserve">Total </t>
  </si>
  <si>
    <t>Cow herd</t>
  </si>
  <si>
    <t>The three production phases included in this model are:</t>
  </si>
  <si>
    <t>This model will help you determine your costs and return for the production of grass fed beef. There are several spreadsheets for you to complete throughout the process.</t>
  </si>
  <si>
    <t>Grass Fed Beef Model</t>
  </si>
  <si>
    <t>Click the START button above</t>
  </si>
  <si>
    <t>Other worksheets included in this model are: marketing, forage establishment, stored harvest and pasture fencing.</t>
  </si>
  <si>
    <t>Handling facilities</t>
  </si>
  <si>
    <t>Waterers</t>
  </si>
  <si>
    <t>Investment rate</t>
  </si>
  <si>
    <t>Fertilizer</t>
  </si>
  <si>
    <t>Taxes</t>
  </si>
  <si>
    <t>Pesticides</t>
  </si>
  <si>
    <t>%</t>
  </si>
  <si>
    <t>Twine</t>
  </si>
  <si>
    <t>Equipment</t>
  </si>
  <si>
    <t>Labour</t>
  </si>
  <si>
    <t>Storage</t>
  </si>
  <si>
    <t>Fuel</t>
  </si>
  <si>
    <t>cost/bag</t>
  </si>
  <si>
    <t xml:space="preserve"> Total</t>
  </si>
  <si>
    <t>Acres</t>
  </si>
  <si>
    <t>Hot carcass weight (lbs)</t>
  </si>
  <si>
    <t>Yield from hang to cut/wrap (lbs)</t>
  </si>
  <si>
    <t>(cost x hot weight)</t>
  </si>
  <si>
    <t>% of carcass</t>
  </si>
  <si>
    <t>Tons DM available</t>
  </si>
  <si>
    <t>Nitrogen</t>
  </si>
  <si>
    <t>Phos.</t>
  </si>
  <si>
    <t>Potassium</t>
  </si>
  <si>
    <t>Sulfur</t>
  </si>
  <si>
    <t>Cost/Acre:</t>
  </si>
  <si>
    <t>Cost/head</t>
  </si>
  <si>
    <t>Sub Total</t>
  </si>
  <si>
    <t>Interest</t>
  </si>
  <si>
    <t>e) Fuel @</t>
  </si>
  <si>
    <t>silage bales</t>
  </si>
  <si>
    <t>Interest on operating</t>
  </si>
  <si>
    <t>Total per acre</t>
  </si>
  <si>
    <t>water pipe</t>
  </si>
  <si>
    <t>Tanks</t>
  </si>
  <si>
    <t>Herd Health</t>
  </si>
  <si>
    <t>cost per hd</t>
  </si>
  <si>
    <t>per head</t>
  </si>
  <si>
    <t>Well &amp; pressure system</t>
  </si>
  <si>
    <t>Windbreak fence</t>
  </si>
  <si>
    <t>Total lbs of saleable meat</t>
  </si>
  <si>
    <t>Cost/hd/day</t>
  </si>
  <si>
    <t>Repair rate should be increased for older machines</t>
  </si>
  <si>
    <t>Notes:</t>
  </si>
  <si>
    <t>Purchase</t>
  </si>
  <si>
    <t>4: Labor cost at</t>
  </si>
  <si>
    <t>per mile</t>
  </si>
  <si>
    <t>Miles of fence</t>
  </si>
  <si>
    <t>per month for the group</t>
  </si>
  <si>
    <t>Windbreak fences</t>
  </si>
  <si>
    <t>Waters</t>
  </si>
  <si>
    <t>hrs per day</t>
  </si>
  <si>
    <t>per hour</t>
  </si>
  <si>
    <t>Interest @</t>
  </si>
  <si>
    <t>Forages for Extended Grazing</t>
  </si>
  <si>
    <t>hours per acre</t>
  </si>
  <si>
    <t>$/bale</t>
  </si>
  <si>
    <t>cost/acre</t>
  </si>
  <si>
    <t>g) Custom wrap-silage bales</t>
  </si>
  <si>
    <t>Acres fenced</t>
  </si>
  <si>
    <t>Sq ft</t>
  </si>
  <si>
    <t>Square root</t>
  </si>
  <si>
    <t>Establishment costs to be recovered in:</t>
  </si>
  <si>
    <t>Units/ac</t>
  </si>
  <si>
    <t xml:space="preserve"> Unit Wt.</t>
  </si>
  <si>
    <t>% DM</t>
  </si>
  <si>
    <t>DM Tons</t>
  </si>
  <si>
    <t>e) Other</t>
  </si>
  <si>
    <t>Cost/ac.</t>
  </si>
  <si>
    <t>tons</t>
  </si>
  <si>
    <t>Repair</t>
  </si>
  <si>
    <t>Rate</t>
  </si>
  <si>
    <t>Dep.</t>
  </si>
  <si>
    <t>Forage</t>
  </si>
  <si>
    <t>Market</t>
  </si>
  <si>
    <t>Value</t>
  </si>
  <si>
    <t>tons/acre</t>
  </si>
  <si>
    <t>Assumptions:</t>
  </si>
  <si>
    <t>Days</t>
  </si>
  <si>
    <t>ft</t>
  </si>
  <si>
    <t>a: Energizer (3.4 joules)</t>
  </si>
  <si>
    <t>Forage Seed Calibration Table</t>
  </si>
  <si>
    <t>Crop</t>
  </si>
  <si>
    <t>Seeds/lb</t>
  </si>
  <si>
    <t>Number seeds/yd of Row at 1 lb/acre</t>
  </si>
  <si>
    <t xml:space="preserve">Seeding Rate </t>
  </si>
  <si>
    <t>6 inch</t>
  </si>
  <si>
    <t>8 inch</t>
  </si>
  <si>
    <t>12 inch</t>
  </si>
  <si>
    <t>lbs/acre</t>
  </si>
  <si>
    <t>Alfalfa</t>
  </si>
  <si>
    <t>Alsike Clover</t>
  </si>
  <si>
    <t>Red Clover</t>
  </si>
  <si>
    <t>White Clover</t>
  </si>
  <si>
    <t>Sweet Clover</t>
  </si>
  <si>
    <t>Birdsfoot Trefoil</t>
  </si>
  <si>
    <t>Meadow Bromegrass</t>
  </si>
  <si>
    <t>Smooth Bromegrass</t>
  </si>
  <si>
    <t>Intermediate Wheatgrass</t>
  </si>
  <si>
    <t>Slender Wheatgrass</t>
  </si>
  <si>
    <t>Tall Wheatgrass</t>
  </si>
  <si>
    <t>Crested Wheatgrass</t>
  </si>
  <si>
    <t>Meadow Fescue</t>
  </si>
  <si>
    <t>Tall Fescue</t>
  </si>
  <si>
    <t>Creeping Red Fescue</t>
  </si>
  <si>
    <t>Meadow Foxtail</t>
  </si>
  <si>
    <t>Creeping Foxtail</t>
  </si>
  <si>
    <t>Orchard grass</t>
  </si>
  <si>
    <t>Timothy</t>
  </si>
  <si>
    <t>Reed Canary</t>
  </si>
  <si>
    <t>Seeds</t>
  </si>
  <si>
    <t>per ft</t>
  </si>
  <si>
    <t>Dry hay</t>
  </si>
  <si>
    <t>of B.Wt.</t>
  </si>
  <si>
    <t>per day</t>
  </si>
  <si>
    <t>per head per day</t>
  </si>
  <si>
    <t>ft per side</t>
  </si>
  <si>
    <t>Perimter fence</t>
  </si>
  <si>
    <t>Seed</t>
  </si>
  <si>
    <t>Land rent</t>
  </si>
  <si>
    <t>Custom seeding</t>
  </si>
  <si>
    <t>of capital cost</t>
  </si>
  <si>
    <t>Portable water troughs</t>
  </si>
  <si>
    <t xml:space="preserve">of capital cost </t>
  </si>
  <si>
    <t>8: Labor for construction:</t>
  </si>
  <si>
    <t>7: Other</t>
  </si>
  <si>
    <t xml:space="preserve">Lbs </t>
  </si>
  <si>
    <t>Cost per day per head</t>
  </si>
  <si>
    <t xml:space="preserve">Fence costs </t>
  </si>
  <si>
    <t>Number of animals</t>
  </si>
  <si>
    <t>Facilities</t>
  </si>
  <si>
    <t>Pasture days - spring-summer</t>
  </si>
  <si>
    <t>cost/head or:</t>
  </si>
  <si>
    <t>Example of a sketch for a 230 acre pasture</t>
  </si>
  <si>
    <t>1: Operating Costs</t>
  </si>
  <si>
    <t>Pasture - Finishing phase</t>
  </si>
  <si>
    <t xml:space="preserve">Management: </t>
  </si>
  <si>
    <t>N - 60 @ $0.64/lb, P - 30@ $0.74/lb</t>
  </si>
  <si>
    <t>Estimated days</t>
  </si>
  <si>
    <t>Number head</t>
  </si>
  <si>
    <t>Energy supp.</t>
  </si>
  <si>
    <t>per lb</t>
  </si>
  <si>
    <t>Note: Total labor cost included in cost of production</t>
  </si>
  <si>
    <t>Cost/lb of nutrient:</t>
  </si>
  <si>
    <t>Forage Base Available</t>
  </si>
  <si>
    <t>Animals Available</t>
  </si>
  <si>
    <t>Sirloin</t>
  </si>
  <si>
    <t>Ribeye</t>
  </si>
  <si>
    <t>Purchased forage (Tons DM)</t>
  </si>
  <si>
    <t>Acres available(sheet #1)</t>
  </si>
  <si>
    <t>Windup reel, push in posts, polywire</t>
  </si>
  <si>
    <t>Potential market value if sold on the rail</t>
  </si>
  <si>
    <t>3. Grassing Yearling Phase - Winter Period</t>
  </si>
  <si>
    <t>5. Marketing Estimate</t>
  </si>
  <si>
    <t>6. Forage Establishment</t>
  </si>
  <si>
    <t>7. Forage Production</t>
  </si>
  <si>
    <t>Date off</t>
  </si>
  <si>
    <t>#HD</t>
  </si>
  <si>
    <t>(Day/Mo/Year)</t>
  </si>
  <si>
    <t>Cost/day</t>
  </si>
  <si>
    <t>(% of cow/calf grazing days from worksheet)</t>
  </si>
  <si>
    <t>Avg wt (lbs)</t>
  </si>
  <si>
    <t>% DM intake</t>
  </si>
  <si>
    <t>DM Forage</t>
  </si>
  <si>
    <t>Months</t>
  </si>
  <si>
    <t>Cost per ac.</t>
  </si>
  <si>
    <t xml:space="preserve">Processing </t>
  </si>
  <si>
    <t>Disposal fee</t>
  </si>
  <si>
    <t xml:space="preserve">Bulls </t>
  </si>
  <si>
    <t>acres</t>
  </si>
  <si>
    <t>Custom Spread</t>
  </si>
  <si>
    <t>$/lb</t>
  </si>
  <si>
    <t>Lbs/acre</t>
  </si>
  <si>
    <t>Acres involved</t>
  </si>
  <si>
    <t>Sulphur</t>
  </si>
  <si>
    <t>per acre</t>
  </si>
  <si>
    <t>Interseeding</t>
  </si>
  <si>
    <t>$/acre</t>
  </si>
  <si>
    <t>Herbicides</t>
  </si>
  <si>
    <t>Mineral</t>
  </si>
  <si>
    <t>Salt</t>
  </si>
  <si>
    <t>oz/day/head</t>
  </si>
  <si>
    <t># Head</t>
  </si>
  <si>
    <t>cost/head</t>
  </si>
  <si>
    <t>Animal health</t>
  </si>
  <si>
    <t>Cost/acre</t>
  </si>
  <si>
    <t>Fixed Costs</t>
  </si>
  <si>
    <t>Forage/Livestock Production Phases</t>
  </si>
  <si>
    <t>lbs/Day</t>
  </si>
  <si>
    <t>Death loss estimate</t>
  </si>
  <si>
    <t>Mineral/salt</t>
  </si>
  <si>
    <t>(or your own cost)</t>
  </si>
  <si>
    <t>Average cost/hd</t>
  </si>
  <si>
    <t>Medicines</t>
  </si>
  <si>
    <t>Veterinary</t>
  </si>
  <si>
    <t>Vaccines</t>
  </si>
  <si>
    <t>x number of units</t>
  </si>
  <si>
    <t>Slaughter &amp; freight - per lb</t>
  </si>
  <si>
    <t>Slaughter plant disposal</t>
  </si>
  <si>
    <t>Hamburger</t>
  </si>
  <si>
    <t>Stew meat</t>
  </si>
  <si>
    <t>Roasts</t>
  </si>
  <si>
    <t>Sirloin tip</t>
  </si>
  <si>
    <t>Steaks</t>
  </si>
  <si>
    <t>Phosphate</t>
  </si>
  <si>
    <t>Rounds</t>
  </si>
  <si>
    <t>Striploin</t>
  </si>
  <si>
    <t>Tenderloin</t>
  </si>
  <si>
    <t>Soup bones</t>
  </si>
  <si>
    <t>Assumptions</t>
  </si>
  <si>
    <t>Live animal weight (lbs)</t>
  </si>
  <si>
    <t>(finished)</t>
  </si>
  <si>
    <t>Total production and processing costs</t>
  </si>
  <si>
    <t>Total production costs</t>
  </si>
  <si>
    <t>http://www.agriculture.gov.sk.ca/Default.aspx?DN=f4b84942-e058-4b5f-92eb-b4f5435bc9d6</t>
  </si>
  <si>
    <t>(should be within 10%)</t>
  </si>
  <si>
    <t>Sub total</t>
  </si>
  <si>
    <t>Interest rate</t>
  </si>
  <si>
    <t>Operating interest</t>
  </si>
  <si>
    <t>c) Twine @ $/ton</t>
  </si>
  <si>
    <t>d) Labour</t>
  </si>
  <si>
    <t>x number of units for the season</t>
  </si>
  <si>
    <t>% of daily amount</t>
  </si>
  <si>
    <t>(Annual cost)</t>
  </si>
  <si>
    <t xml:space="preserve">     b: Storage Structures:</t>
  </si>
  <si>
    <t>Cost per acre</t>
  </si>
  <si>
    <t>General Management Recommendations:</t>
  </si>
  <si>
    <t>Tons DM available (from sheet#1)</t>
  </si>
  <si>
    <t>% Forage is adjusted to use</t>
  </si>
  <si>
    <r>
      <t xml:space="preserve">Step 1. </t>
    </r>
    <r>
      <rPr>
        <sz val="11"/>
        <rFont val="Calibri"/>
        <family val="2"/>
      </rPr>
      <t>Complete the inputs (white boxes) on the worksheet below. You will be required to determine your forage land and balance it with your herd size. Click next to move to the next worksheet.</t>
    </r>
  </si>
  <si>
    <t>1. Inputs</t>
  </si>
  <si>
    <t>2. Cow Calf Phase</t>
  </si>
  <si>
    <t>(@43,560 ft/ac)</t>
  </si>
  <si>
    <t>Acres required @</t>
  </si>
  <si>
    <t>labor</t>
  </si>
  <si>
    <t>Mineral $/bag</t>
  </si>
  <si>
    <t>Salt $/bag</t>
  </si>
  <si>
    <t>Your $per unit</t>
  </si>
  <si>
    <t>Establishment Management Comments:</t>
  </si>
  <si>
    <t>8. Pasture Fencing</t>
  </si>
  <si>
    <t>9. Profit and Loss Statement for the Production of Grass Fed Beef</t>
  </si>
  <si>
    <t>Depreciation</t>
  </si>
  <si>
    <t>oz/day/head (880 oz per bag)</t>
  </si>
  <si>
    <t>cost/unit</t>
  </si>
  <si>
    <t>Note: Scroll down to Winter costs</t>
  </si>
  <si>
    <t>Average cost</t>
  </si>
  <si>
    <t>Yardage cost (equipment, fuel, repairs)</t>
  </si>
  <si>
    <t>Heifers</t>
  </si>
  <si>
    <t>&amp; Wastage</t>
  </si>
  <si>
    <t>Replacement</t>
  </si>
  <si>
    <t>Investment</t>
  </si>
  <si>
    <t>Per Cow</t>
  </si>
  <si>
    <t>Death loss</t>
  </si>
  <si>
    <t>Total per cow</t>
  </si>
  <si>
    <t>Cost per day (annual)</t>
  </si>
  <si>
    <t>Per head</t>
  </si>
  <si>
    <t>Total/cow</t>
  </si>
  <si>
    <t>Yardage - fuel &amp; equipment</t>
  </si>
  <si>
    <t>of total costs</t>
  </si>
  <si>
    <t>Custom work (describe)</t>
  </si>
  <si>
    <t>Total cost</t>
  </si>
  <si>
    <t>Total Forage Tons DM</t>
  </si>
  <si>
    <t>Cross Fence</t>
  </si>
  <si>
    <t>Alley way</t>
  </si>
  <si>
    <t>Corrals</t>
  </si>
  <si>
    <t>panels 5'x8'</t>
  </si>
  <si>
    <t>self locking head gate</t>
  </si>
  <si>
    <t>(curved chute)</t>
  </si>
  <si>
    <t>$ per acre</t>
  </si>
  <si>
    <t>h) purchase standing hay</t>
  </si>
  <si>
    <t>i) Other</t>
  </si>
  <si>
    <t>/unit</t>
  </si>
  <si>
    <t>f) Switches</t>
  </si>
  <si>
    <t>cost per unit</t>
  </si>
  <si>
    <t xml:space="preserve">               number units</t>
  </si>
  <si>
    <t xml:space="preserve">            Number of posts</t>
  </si>
  <si>
    <t xml:space="preserve">            Number rolls wire</t>
  </si>
  <si>
    <t>(Ft)     Number of wires</t>
  </si>
  <si>
    <t>Cut out switches</t>
  </si>
  <si>
    <t>Water lines - both sides of alley way</t>
  </si>
  <si>
    <t>posts</t>
  </si>
  <si>
    <t>1: Investment rate</t>
  </si>
  <si>
    <t xml:space="preserve">1: Repairs &amp; Maintenance </t>
  </si>
</sst>
</file>

<file path=xl/styles.xml><?xml version="1.0" encoding="utf-8"?>
<styleSheet xmlns="http://schemas.openxmlformats.org/spreadsheetml/2006/main">
  <numFmts count="42">
    <numFmt numFmtId="5" formatCode="&quot;Can$&quot;#,##0_);\(&quot;Can$&quot;#,##0\)"/>
    <numFmt numFmtId="6" formatCode="&quot;Can$&quot;#,##0_);[Red]\(&quot;Can$&quot;#,##0\)"/>
    <numFmt numFmtId="7" formatCode="&quot;Can$&quot;#,##0.00_);\(&quot;Can$&quot;#,##0.00\)"/>
    <numFmt numFmtId="8" formatCode="&quot;Can$&quot;#,##0.00_);[Red]\(&quot;Can$&quot;#,##0.00\)"/>
    <numFmt numFmtId="42" formatCode="_(&quot;Can$&quot;* #,##0_);_(&quot;Can$&quot;* \(#,##0\);_(&quot;Can$&quot;* &quot;-&quot;_);_(@_)"/>
    <numFmt numFmtId="41" formatCode="_(* #,##0_);_(* \(#,##0\);_(* &quot;-&quot;_);_(@_)"/>
    <numFmt numFmtId="44" formatCode="_(&quot;Can$&quot;* #,##0.00_);_(&quot;Can$&quot;* \(#,##0.00\);_(&quot;Ca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Can$&quot;* #,##0_);_(&quot;Can$&quot;* \(#,##0\);_(&quot;Can$&quot;* &quot;-&quot;_);_(@_)"/>
    <numFmt numFmtId="173" formatCode="_(* #,##0_);_(* \(#,##0\);_(* &quot;-&quot;_);_(@_)"/>
    <numFmt numFmtId="174" formatCode="_(&quot;Can$&quot;* #,##0.00_);_(&quot;Can$&quot;* \(#,##0.00\);_(&quot;Can$&quot;* &quot;-&quot;??_);_(@_)"/>
    <numFmt numFmtId="175" formatCode="_(* #,##0.00_);_(* \(#,##0.00\);_(*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0.0_);\(#,##0.0\)"/>
    <numFmt numFmtId="183" formatCode="d/mmm/yy"/>
    <numFmt numFmtId="184" formatCode="&quot;$&quot;#,##0.00"/>
    <numFmt numFmtId="185" formatCode="&quot;$&quot;#,##0"/>
    <numFmt numFmtId="186" formatCode="0.0%"/>
    <numFmt numFmtId="187" formatCode="#,##0.0"/>
    <numFmt numFmtId="188" formatCode="[$-1009]d\-mmm\-yy;@"/>
    <numFmt numFmtId="189" formatCode="0.0"/>
    <numFmt numFmtId="190" formatCode="&quot;$&quot;#,##0.0000"/>
    <numFmt numFmtId="191" formatCode="[$$-1009]#,##0;\-[$$-1009]#,##0"/>
    <numFmt numFmtId="192" formatCode="[$$-1009]#,##0"/>
    <numFmt numFmtId="193" formatCode="[$-1009]mmmm\-dd\-yy"/>
    <numFmt numFmtId="194" formatCode="&quot;Yes&quot;;&quot;Yes&quot;;&quot;No&quot;"/>
    <numFmt numFmtId="195" formatCode="&quot;True&quot;;&quot;True&quot;;&quot;False&quot;"/>
    <numFmt numFmtId="196" formatCode="&quot;On&quot;;&quot;On&quot;;&quot;Off&quot;"/>
    <numFmt numFmtId="197" formatCode="[$€-2]\ #,##0.00_);[Red]\([$€-2]\ #,##0.00\)"/>
  </numFmts>
  <fonts count="80">
    <font>
      <sz val="10"/>
      <name val="Courier"/>
      <family val="0"/>
    </font>
    <font>
      <sz val="11"/>
      <color indexed="8"/>
      <name val="Calibri"/>
      <family val="2"/>
    </font>
    <font>
      <sz val="10"/>
      <name val="Arial"/>
      <family val="0"/>
    </font>
    <font>
      <sz val="10"/>
      <color indexed="12"/>
      <name val="Courier"/>
      <family val="3"/>
    </font>
    <font>
      <b/>
      <i/>
      <sz val="10"/>
      <color indexed="9"/>
      <name val="Arial"/>
      <family val="2"/>
    </font>
    <font>
      <sz val="10"/>
      <color indexed="8"/>
      <name val="Arial"/>
      <family val="2"/>
    </font>
    <font>
      <sz val="8"/>
      <name val="Courier"/>
      <family val="3"/>
    </font>
    <font>
      <sz val="11"/>
      <name val="Courier"/>
      <family val="3"/>
    </font>
    <font>
      <b/>
      <sz val="11"/>
      <name val="Courier"/>
      <family val="3"/>
    </font>
    <font>
      <b/>
      <sz val="10"/>
      <name val="Courier"/>
      <family val="3"/>
    </font>
    <font>
      <sz val="10"/>
      <name val="Times New Roman"/>
      <family val="1"/>
    </font>
    <font>
      <b/>
      <sz val="12"/>
      <name val="Times New Roman"/>
      <family val="1"/>
    </font>
    <font>
      <sz val="10"/>
      <color indexed="12"/>
      <name val="Times New Roman"/>
      <family val="1"/>
    </font>
    <font>
      <b/>
      <sz val="10"/>
      <name val="Times New Roman"/>
      <family val="1"/>
    </font>
    <font>
      <b/>
      <sz val="10"/>
      <color indexed="12"/>
      <name val="Times New Roman"/>
      <family val="1"/>
    </font>
    <font>
      <b/>
      <i/>
      <sz val="10"/>
      <name val="Times New Roman"/>
      <family val="1"/>
    </font>
    <font>
      <b/>
      <sz val="12"/>
      <name val="Courier"/>
      <family val="3"/>
    </font>
    <font>
      <b/>
      <u val="single"/>
      <sz val="10"/>
      <name val="Times New Roman"/>
      <family val="1"/>
    </font>
    <font>
      <b/>
      <sz val="10"/>
      <color indexed="10"/>
      <name val="Times New Roman"/>
      <family val="1"/>
    </font>
    <font>
      <b/>
      <sz val="14"/>
      <name val="Times New Roman"/>
      <family val="1"/>
    </font>
    <font>
      <b/>
      <sz val="14"/>
      <name val="Courier"/>
      <family val="3"/>
    </font>
    <font>
      <sz val="9"/>
      <name val="Times New Roman"/>
      <family val="1"/>
    </font>
    <font>
      <b/>
      <sz val="9"/>
      <name val="Times New Roman"/>
      <family val="1"/>
    </font>
    <font>
      <sz val="9"/>
      <name val="Courier"/>
      <family val="3"/>
    </font>
    <font>
      <b/>
      <sz val="8"/>
      <name val="Times New Roman"/>
      <family val="1"/>
    </font>
    <font>
      <sz val="8"/>
      <name val="Times New Roman"/>
      <family val="1"/>
    </font>
    <font>
      <sz val="8"/>
      <name val="Verdana"/>
      <family val="0"/>
    </font>
    <font>
      <sz val="14"/>
      <name val="Times New Roman Bold Italic"/>
      <family val="0"/>
    </font>
    <font>
      <sz val="11"/>
      <name val="Times New Roman"/>
      <family val="1"/>
    </font>
    <font>
      <sz val="16"/>
      <name val="Times New Roman Bold Italic"/>
      <family val="0"/>
    </font>
    <font>
      <b/>
      <sz val="10"/>
      <color indexed="23"/>
      <name val="Times New Roman"/>
      <family val="1"/>
    </font>
    <font>
      <sz val="8"/>
      <color indexed="10"/>
      <name val="Times New Roman"/>
      <family val="1"/>
    </font>
    <font>
      <b/>
      <sz val="15"/>
      <color indexed="56"/>
      <name val="Calibri"/>
      <family val="2"/>
    </font>
    <font>
      <b/>
      <sz val="11"/>
      <color indexed="56"/>
      <name val="Calibri"/>
      <family val="2"/>
    </font>
    <font>
      <b/>
      <sz val="18"/>
      <color indexed="56"/>
      <name val="Cambria"/>
      <family val="2"/>
    </font>
    <font>
      <b/>
      <sz val="11"/>
      <color indexed="8"/>
      <name val="Calibri"/>
      <family val="2"/>
    </font>
    <font>
      <sz val="11"/>
      <name val="Calibri"/>
      <family val="2"/>
    </font>
    <font>
      <b/>
      <sz val="12"/>
      <name val="Calibri"/>
      <family val="2"/>
    </font>
    <font>
      <sz val="10"/>
      <name val="Calibri"/>
      <family val="2"/>
    </font>
    <font>
      <b/>
      <sz val="11"/>
      <name val="Calibri"/>
      <family val="2"/>
    </font>
    <font>
      <b/>
      <sz val="10"/>
      <name val="Calibri"/>
      <family val="2"/>
    </font>
    <font>
      <b/>
      <sz val="14"/>
      <color indexed="10"/>
      <name val="Calibri"/>
      <family val="2"/>
    </font>
    <font>
      <b/>
      <sz val="18"/>
      <color indexed="10"/>
      <name val="Calibri"/>
      <family val="2"/>
    </font>
    <font>
      <b/>
      <sz val="18"/>
      <name val="Calibri"/>
      <family val="2"/>
    </font>
    <font>
      <i/>
      <sz val="10"/>
      <name val="Calibri"/>
      <family val="2"/>
    </font>
    <font>
      <b/>
      <sz val="12"/>
      <color indexed="10"/>
      <name val="Times New Roman"/>
      <family val="1"/>
    </font>
    <font>
      <u val="single"/>
      <sz val="10"/>
      <name val="Calibri"/>
      <family val="2"/>
    </font>
    <font>
      <sz val="10"/>
      <color indexed="9"/>
      <name val="Times New Roman"/>
      <family val="1"/>
    </font>
    <font>
      <b/>
      <sz val="10"/>
      <color indexed="9"/>
      <name val="Times New Roman"/>
      <family val="1"/>
    </font>
    <font>
      <b/>
      <sz val="14"/>
      <color indexed="9"/>
      <name val="Times New Roman"/>
      <family val="1"/>
    </font>
    <font>
      <b/>
      <sz val="10"/>
      <color indexed="9"/>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50"/>
      <name val="Courier"/>
      <family val="3"/>
    </font>
    <font>
      <sz val="11"/>
      <color indexed="17"/>
      <name val="Calibri"/>
      <family val="2"/>
    </font>
    <font>
      <b/>
      <sz val="13"/>
      <color indexed="56"/>
      <name val="Calibri"/>
      <family val="2"/>
    </font>
    <font>
      <u val="single"/>
      <sz val="10"/>
      <color indexed="11"/>
      <name val="Courier"/>
      <family val="3"/>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ourier"/>
      <family val="3"/>
    </font>
    <font>
      <b/>
      <sz val="8"/>
      <color indexed="8"/>
      <name val="Courier"/>
      <family val="3"/>
    </font>
    <font>
      <b/>
      <sz val="10"/>
      <name val="Arial"/>
      <family val="2"/>
    </font>
    <font>
      <sz val="14"/>
      <name val="Times New Roman"/>
      <family val="1"/>
    </font>
    <font>
      <b/>
      <i/>
      <sz val="12"/>
      <color indexed="30"/>
      <name val="Calibri"/>
      <family val="2"/>
    </font>
    <font>
      <b/>
      <sz val="12"/>
      <color indexed="30"/>
      <name val="Calibri"/>
      <family val="2"/>
    </font>
    <font>
      <sz val="12"/>
      <name val="Courier"/>
      <family val="0"/>
    </font>
    <font>
      <sz val="14"/>
      <name val="Courier"/>
      <family val="0"/>
    </font>
    <font>
      <b/>
      <i/>
      <sz val="14"/>
      <color indexed="30"/>
      <name val="Calibri"/>
      <family val="2"/>
    </font>
    <font>
      <b/>
      <sz val="14"/>
      <color indexed="30"/>
      <name val="Calibri"/>
      <family val="2"/>
    </font>
    <font>
      <sz val="14"/>
      <name val="Calibri"/>
      <family val="2"/>
    </font>
    <font>
      <b/>
      <sz val="10"/>
      <color indexed="8"/>
      <name val="Verdana"/>
      <family val="0"/>
    </font>
    <font>
      <i/>
      <sz val="10"/>
      <color indexed="8"/>
      <name val="Arial"/>
      <family val="0"/>
    </font>
    <font>
      <b/>
      <sz val="10"/>
      <color indexed="8"/>
      <name val="Arial"/>
      <family val="0"/>
    </font>
    <font>
      <b/>
      <sz val="10"/>
      <color indexed="8"/>
      <name val="Courier"/>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7"/>
        <bgColor indexed="64"/>
      </patternFill>
    </fill>
    <fill>
      <patternFill patternType="solid">
        <fgColor indexed="16"/>
        <bgColor indexed="64"/>
      </patternFill>
    </fill>
    <fill>
      <patternFill patternType="darkGray">
        <fgColor indexed="9"/>
        <bgColor indexed="13"/>
      </patternFill>
    </fill>
    <fill>
      <patternFill patternType="solid">
        <fgColor indexed="37"/>
        <bgColor indexed="64"/>
      </patternFill>
    </fill>
    <fill>
      <patternFill patternType="solid">
        <fgColor indexed="51"/>
        <bgColor indexed="64"/>
      </patternFill>
    </fill>
    <fill>
      <patternFill patternType="solid">
        <fgColor indexed="49"/>
        <bgColor indexed="64"/>
      </patternFill>
    </fill>
    <fill>
      <patternFill patternType="solid">
        <fgColor indexed="41"/>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color indexed="63"/>
      </left>
      <right style="thin"/>
      <top style="thin"/>
      <bottom style="medium"/>
    </border>
    <border>
      <left style="medium"/>
      <right/>
      <top style="thin"/>
      <bottom style="thin"/>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style="dotted"/>
      <right>
        <color indexed="63"/>
      </right>
      <top>
        <color indexed="63"/>
      </top>
      <bottom>
        <color indexed="63"/>
      </bottom>
    </border>
    <border>
      <left style="medium"/>
      <right/>
      <top style="dotted"/>
      <bottom>
        <color indexed="63"/>
      </bottom>
    </border>
    <border>
      <left/>
      <right style="thin"/>
      <top style="dotted"/>
      <bottom>
        <color indexed="63"/>
      </bottom>
    </border>
    <border>
      <left style="thin"/>
      <right/>
      <top style="thin"/>
      <bottom style="thin"/>
    </border>
    <border>
      <left/>
      <right/>
      <top style="thin"/>
      <bottom style="thin"/>
    </border>
    <border>
      <left style="medium"/>
      <right/>
      <top/>
      <bottom style="medium"/>
    </border>
    <border>
      <left/>
      <right/>
      <top/>
      <bottom style="medium"/>
    </border>
    <border>
      <left>
        <color indexed="63"/>
      </left>
      <right style="dotted"/>
      <top>
        <color indexed="63"/>
      </top>
      <bottom style="medium"/>
    </border>
    <border>
      <left style="dotted"/>
      <right>
        <color indexed="63"/>
      </right>
      <top>
        <color indexed="63"/>
      </top>
      <bottom style="medium"/>
    </border>
    <border>
      <left/>
      <right style="medium"/>
      <top/>
      <bottom style="medium"/>
    </border>
    <border>
      <left style="medium"/>
      <right>
        <color indexed="63"/>
      </right>
      <top style="thin"/>
      <bottom>
        <color indexed="63"/>
      </bottom>
    </border>
    <border>
      <left>
        <color indexed="63"/>
      </left>
      <right style="medium"/>
      <top style="thin"/>
      <bottom>
        <color indexed="63"/>
      </bottom>
    </border>
    <border>
      <left style="medium"/>
      <right/>
      <top/>
      <bottom style="dotted"/>
    </border>
    <border>
      <left>
        <color indexed="63"/>
      </left>
      <right>
        <color indexed="63"/>
      </right>
      <top/>
      <bottom style="dotted"/>
    </border>
    <border>
      <left/>
      <right style="medium"/>
      <top/>
      <bottom style="dotted"/>
    </border>
    <border>
      <left>
        <color indexed="63"/>
      </left>
      <right style="medium"/>
      <top style="dotted"/>
      <bottom>
        <color indexed="63"/>
      </bottom>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otted"/>
      <bottom>
        <color indexed="63"/>
      </bottom>
    </border>
    <border>
      <left style="medium"/>
      <right style="thin"/>
      <top style="thin"/>
      <bottom style="thin"/>
    </border>
    <border>
      <left style="thin"/>
      <right>
        <color indexed="63"/>
      </right>
      <top>
        <color indexed="63"/>
      </top>
      <bottom style="dashed"/>
    </border>
    <border>
      <left>
        <color indexed="63"/>
      </left>
      <right>
        <color indexed="63"/>
      </right>
      <top style="medium"/>
      <bottom style="dotted"/>
    </border>
    <border>
      <left>
        <color indexed="63"/>
      </left>
      <right style="thin"/>
      <top>
        <color indexed="63"/>
      </top>
      <bottom style="dotted"/>
    </border>
    <border>
      <left style="thin"/>
      <right>
        <color indexed="63"/>
      </right>
      <top>
        <color indexed="63"/>
      </top>
      <bottom style="dotted"/>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dashed"/>
    </border>
    <border>
      <left/>
      <right style="medium"/>
      <top style="medium"/>
      <bottom style="dotted"/>
    </border>
    <border>
      <left style="thin"/>
      <right>
        <color indexed="63"/>
      </right>
      <top style="dotted"/>
      <bottom>
        <color indexed="63"/>
      </bottom>
    </border>
    <border>
      <left style="dotted"/>
      <right>
        <color indexed="63"/>
      </right>
      <top style="dotted"/>
      <bottom>
        <color indexed="63"/>
      </bottom>
    </border>
    <border>
      <left style="dotted"/>
      <right>
        <color indexed="63"/>
      </right>
      <top>
        <color indexed="63"/>
      </top>
      <bottom style="dotted"/>
    </border>
    <border>
      <left style="medium"/>
      <right>
        <color indexed="63"/>
      </right>
      <top style="medium"/>
      <bottom style="dotted"/>
    </border>
    <border>
      <left style="thin"/>
      <right style="thin"/>
      <top style="medium"/>
      <bottom style="thin"/>
    </border>
    <border>
      <left style="medium"/>
      <right style="thin"/>
      <top>
        <color indexed="63"/>
      </top>
      <bottom/>
    </border>
    <border>
      <left style="medium"/>
      <right style="thin"/>
      <top style="thin"/>
      <bottom/>
    </border>
    <border>
      <left style="thin"/>
      <right style="thin"/>
      <top style="thin"/>
      <bottom/>
    </border>
    <border>
      <left/>
      <right/>
      <top style="medium"/>
      <bottom style="medium"/>
    </border>
    <border>
      <left style="medium"/>
      <right/>
      <top style="medium"/>
      <bottom style="mediu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51" fillId="11" borderId="0" applyNumberFormat="0" applyBorder="0" applyAlignment="0" applyProtection="0"/>
    <xf numFmtId="0" fontId="51" fillId="6" borderId="0" applyNumberFormat="0" applyBorder="0" applyAlignment="0" applyProtection="0"/>
    <xf numFmtId="0" fontId="51" fillId="9"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2"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2" fillId="3" borderId="0" applyNumberFormat="0" applyBorder="0" applyAlignment="0" applyProtection="0"/>
    <xf numFmtId="0" fontId="53" fillId="19" borderId="1" applyNumberFormat="0" applyAlignment="0" applyProtection="0"/>
    <xf numFmtId="0" fontId="54"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4" borderId="0" applyNumberFormat="0" applyBorder="0" applyAlignment="0" applyProtection="0"/>
    <xf numFmtId="0" fontId="32" fillId="0" borderId="3" applyNumberFormat="0" applyFill="0" applyAlignment="0" applyProtection="0"/>
    <xf numFmtId="0" fontId="58"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9" fillId="0" borderId="0" applyNumberFormat="0" applyFill="0" applyBorder="0" applyAlignment="0" applyProtection="0"/>
    <xf numFmtId="0" fontId="60" fillId="6" borderId="1" applyNumberFormat="0" applyAlignment="0" applyProtection="0"/>
    <xf numFmtId="0" fontId="61" fillId="0" borderId="6" applyNumberFormat="0" applyFill="0" applyAlignment="0" applyProtection="0"/>
    <xf numFmtId="0" fontId="62" fillId="21" borderId="0" applyNumberFormat="0" applyBorder="0" applyAlignment="0" applyProtection="0"/>
    <xf numFmtId="0" fontId="0" fillId="22" borderId="7" applyNumberFormat="0" applyFont="0" applyAlignment="0" applyProtection="0"/>
    <xf numFmtId="0" fontId="63" fillId="19"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64" fillId="0" borderId="0" applyNumberFormat="0" applyFill="0" applyBorder="0" applyAlignment="0" applyProtection="0"/>
  </cellStyleXfs>
  <cellXfs count="825">
    <xf numFmtId="0" fontId="0" fillId="0" borderId="0" xfId="0" applyAlignment="1">
      <alignment/>
    </xf>
    <xf numFmtId="0" fontId="10" fillId="0" borderId="0" xfId="0" applyFont="1" applyAlignment="1">
      <alignment/>
    </xf>
    <xf numFmtId="185" fontId="10" fillId="0" borderId="0" xfId="0" applyNumberFormat="1" applyFont="1" applyAlignment="1" applyProtection="1">
      <alignment/>
      <protection/>
    </xf>
    <xf numFmtId="0" fontId="10" fillId="0" borderId="0" xfId="0" applyFont="1" applyAlignment="1" applyProtection="1">
      <alignment/>
      <protection locked="0"/>
    </xf>
    <xf numFmtId="0" fontId="19" fillId="0" borderId="0" xfId="0" applyFont="1" applyAlignment="1" applyProtection="1">
      <alignment/>
      <protection/>
    </xf>
    <xf numFmtId="0" fontId="10" fillId="0" borderId="0" xfId="0" applyFont="1" applyAlignment="1" applyProtection="1">
      <alignment/>
      <protection/>
    </xf>
    <xf numFmtId="0" fontId="10" fillId="0" borderId="0" xfId="0" applyFont="1" applyFill="1" applyAlignment="1" applyProtection="1">
      <alignment/>
      <protection/>
    </xf>
    <xf numFmtId="0" fontId="10"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0" fillId="0" borderId="0" xfId="0" applyAlignment="1" applyProtection="1">
      <alignment/>
      <protection/>
    </xf>
    <xf numFmtId="1" fontId="13" fillId="0" borderId="0" xfId="0" applyNumberFormat="1" applyFont="1" applyAlignment="1" applyProtection="1">
      <alignment/>
      <protection/>
    </xf>
    <xf numFmtId="1" fontId="10" fillId="0" borderId="0" xfId="0" applyNumberFormat="1" applyFont="1" applyAlignment="1" applyProtection="1">
      <alignment/>
      <protection/>
    </xf>
    <xf numFmtId="9" fontId="10" fillId="0" borderId="0" xfId="0" applyNumberFormat="1" applyFont="1" applyAlignment="1" applyProtection="1">
      <alignment/>
      <protection/>
    </xf>
    <xf numFmtId="184" fontId="10" fillId="0" borderId="0" xfId="0" applyNumberFormat="1" applyFont="1" applyAlignment="1" applyProtection="1">
      <alignment/>
      <protection/>
    </xf>
    <xf numFmtId="186" fontId="10" fillId="0" borderId="0" xfId="0" applyNumberFormat="1" applyFont="1" applyAlignment="1" applyProtection="1">
      <alignment/>
      <protection/>
    </xf>
    <xf numFmtId="0" fontId="10" fillId="0" borderId="0" xfId="0" applyFont="1" applyBorder="1" applyAlignment="1" applyProtection="1">
      <alignment/>
      <protection/>
    </xf>
    <xf numFmtId="184" fontId="10" fillId="0" borderId="0" xfId="0" applyNumberFormat="1" applyFont="1" applyBorder="1" applyAlignment="1" applyProtection="1">
      <alignment/>
      <protection/>
    </xf>
    <xf numFmtId="0" fontId="9" fillId="0" borderId="0" xfId="0" applyFont="1" applyAlignment="1" applyProtection="1">
      <alignment horizontal="center"/>
      <protection/>
    </xf>
    <xf numFmtId="0" fontId="0" fillId="0" borderId="0" xfId="0" applyAlignment="1" applyProtection="1">
      <alignment horizontal="center"/>
      <protection/>
    </xf>
    <xf numFmtId="0" fontId="10" fillId="0" borderId="0" xfId="0" applyFont="1" applyAlignment="1" applyProtection="1">
      <alignment horizontal="center"/>
      <protection/>
    </xf>
    <xf numFmtId="3" fontId="0" fillId="0" borderId="0" xfId="0" applyNumberFormat="1" applyAlignment="1" applyProtection="1">
      <alignment/>
      <protection/>
    </xf>
    <xf numFmtId="1" fontId="0" fillId="0" borderId="0" xfId="0" applyNumberFormat="1" applyAlignment="1" applyProtection="1">
      <alignment/>
      <protection/>
    </xf>
    <xf numFmtId="0" fontId="13" fillId="0" borderId="0" xfId="0" applyFont="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1" fontId="0" fillId="0" borderId="0" xfId="0" applyNumberFormat="1" applyFill="1" applyAlignment="1" applyProtection="1">
      <alignment/>
      <protection/>
    </xf>
    <xf numFmtId="1" fontId="10" fillId="0" borderId="0" xfId="0" applyNumberFormat="1" applyFont="1" applyFill="1" applyAlignment="1" applyProtection="1">
      <alignment/>
      <protection/>
    </xf>
    <xf numFmtId="1" fontId="4" fillId="23" borderId="10" xfId="0" applyNumberFormat="1" applyFont="1" applyFill="1" applyBorder="1" applyAlignment="1" applyProtection="1">
      <alignment horizontal="left"/>
      <protection/>
    </xf>
    <xf numFmtId="3" fontId="4" fillId="23" borderId="11" xfId="0" applyNumberFormat="1" applyFont="1" applyFill="1" applyBorder="1" applyAlignment="1" applyProtection="1">
      <alignment horizontal="center"/>
      <protection/>
    </xf>
    <xf numFmtId="1" fontId="4" fillId="23" borderId="11" xfId="0" applyNumberFormat="1" applyFont="1" applyFill="1" applyBorder="1" applyAlignment="1" applyProtection="1">
      <alignment horizontal="center"/>
      <protection/>
    </xf>
    <xf numFmtId="1" fontId="4" fillId="24" borderId="11" xfId="0" applyNumberFormat="1" applyFont="1" applyFill="1" applyBorder="1" applyAlignment="1" applyProtection="1">
      <alignment horizontal="center"/>
      <protection/>
    </xf>
    <xf numFmtId="1" fontId="4" fillId="24" borderId="12" xfId="0" applyNumberFormat="1" applyFont="1" applyFill="1" applyBorder="1" applyAlignment="1" applyProtection="1">
      <alignment horizontal="center"/>
      <protection/>
    </xf>
    <xf numFmtId="1" fontId="4" fillId="23" borderId="13" xfId="0" applyNumberFormat="1" applyFont="1" applyFill="1" applyBorder="1" applyAlignment="1" applyProtection="1">
      <alignment horizontal="left"/>
      <protection/>
    </xf>
    <xf numFmtId="3" fontId="4" fillId="23" borderId="0" xfId="0" applyNumberFormat="1" applyFont="1" applyFill="1" applyBorder="1" applyAlignment="1" applyProtection="1">
      <alignment horizontal="center"/>
      <protection/>
    </xf>
    <xf numFmtId="1" fontId="4" fillId="24" borderId="0" xfId="0" applyNumberFormat="1" applyFont="1" applyFill="1" applyBorder="1" applyAlignment="1" applyProtection="1">
      <alignment horizontal="center"/>
      <protection/>
    </xf>
    <xf numFmtId="1" fontId="4" fillId="24" borderId="0" xfId="0" applyNumberFormat="1" applyFont="1" applyFill="1" applyBorder="1" applyAlignment="1" applyProtection="1">
      <alignment horizontal="left"/>
      <protection/>
    </xf>
    <xf numFmtId="0" fontId="4" fillId="24" borderId="0" xfId="0" applyFont="1" applyFill="1" applyBorder="1" applyAlignment="1" applyProtection="1">
      <alignment horizontal="center"/>
      <protection/>
    </xf>
    <xf numFmtId="0" fontId="4" fillId="24" borderId="14" xfId="0" applyFont="1" applyFill="1" applyBorder="1" applyAlignment="1" applyProtection="1">
      <alignment horizontal="center"/>
      <protection/>
    </xf>
    <xf numFmtId="0" fontId="10" fillId="0" borderId="0" xfId="0" applyFont="1" applyFill="1" applyBorder="1" applyAlignment="1" applyProtection="1">
      <alignment/>
      <protection/>
    </xf>
    <xf numFmtId="0" fontId="11" fillId="0" borderId="0" xfId="0" applyFont="1" applyAlignment="1" applyProtection="1">
      <alignment/>
      <protection/>
    </xf>
    <xf numFmtId="0" fontId="16" fillId="0" borderId="0" xfId="0" applyFont="1" applyAlignment="1" applyProtection="1">
      <alignment/>
      <protection/>
    </xf>
    <xf numFmtId="0" fontId="10" fillId="0" borderId="0" xfId="0" applyFont="1" applyAlignment="1" applyProtection="1">
      <alignment horizontal="left"/>
      <protection/>
    </xf>
    <xf numFmtId="0" fontId="20" fillId="0" borderId="0" xfId="0" applyFont="1" applyAlignment="1" applyProtection="1">
      <alignment/>
      <protection/>
    </xf>
    <xf numFmtId="0" fontId="9" fillId="0" borderId="0" xfId="0" applyFont="1" applyAlignment="1" applyProtection="1">
      <alignment/>
      <protection/>
    </xf>
    <xf numFmtId="0" fontId="0" fillId="0" borderId="0" xfId="0" applyFont="1" applyAlignment="1" applyProtection="1">
      <alignment/>
      <protection/>
    </xf>
    <xf numFmtId="0" fontId="19" fillId="0" borderId="0" xfId="0" applyFont="1" applyAlignment="1" applyProtection="1">
      <alignment horizontal="left"/>
      <protection/>
    </xf>
    <xf numFmtId="185" fontId="10" fillId="0" borderId="0" xfId="0" applyNumberFormat="1" applyFont="1" applyBorder="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1" fontId="10" fillId="0" borderId="0" xfId="0" applyNumberFormat="1" applyFont="1" applyAlignment="1" applyProtection="1">
      <alignment horizontal="center"/>
      <protection/>
    </xf>
    <xf numFmtId="185" fontId="10" fillId="0" borderId="0" xfId="0" applyNumberFormat="1" applyFont="1" applyBorder="1" applyAlignment="1" applyProtection="1">
      <alignment horizontal="center"/>
      <protection/>
    </xf>
    <xf numFmtId="184" fontId="10" fillId="0" borderId="0" xfId="0" applyNumberFormat="1" applyFont="1" applyBorder="1" applyAlignment="1" applyProtection="1">
      <alignment horizontal="center"/>
      <protection/>
    </xf>
    <xf numFmtId="185" fontId="13" fillId="0" borderId="0" xfId="0" applyNumberFormat="1" applyFont="1" applyFill="1" applyBorder="1" applyAlignment="1" applyProtection="1">
      <alignment/>
      <protection/>
    </xf>
    <xf numFmtId="184" fontId="13" fillId="0" borderId="0" xfId="0" applyNumberFormat="1" applyFont="1" applyFill="1" applyBorder="1" applyAlignment="1" applyProtection="1">
      <alignment/>
      <protection/>
    </xf>
    <xf numFmtId="0" fontId="23" fillId="0" borderId="0" xfId="0" applyFont="1" applyAlignment="1" applyProtection="1">
      <alignment/>
      <protection/>
    </xf>
    <xf numFmtId="1" fontId="4" fillId="23" borderId="13" xfId="0" applyNumberFormat="1" applyFont="1" applyFill="1" applyBorder="1" applyAlignment="1" applyProtection="1">
      <alignment horizontal="right"/>
      <protection/>
    </xf>
    <xf numFmtId="183" fontId="4" fillId="24" borderId="0" xfId="0" applyNumberFormat="1" applyFont="1" applyFill="1" applyBorder="1" applyAlignment="1" applyProtection="1">
      <alignment horizontal="center"/>
      <protection/>
    </xf>
    <xf numFmtId="3" fontId="5" fillId="25" borderId="15" xfId="0" applyNumberFormat="1" applyFont="1" applyFill="1" applyBorder="1" applyAlignment="1" applyProtection="1">
      <alignment horizontal="center"/>
      <protection/>
    </xf>
    <xf numFmtId="1" fontId="5" fillId="25" borderId="15" xfId="0" applyNumberFormat="1" applyFont="1" applyFill="1" applyBorder="1" applyAlignment="1" applyProtection="1">
      <alignment horizontal="center"/>
      <protection/>
    </xf>
    <xf numFmtId="0" fontId="5" fillId="25" borderId="15" xfId="0" applyFont="1" applyFill="1" applyBorder="1" applyAlignment="1" applyProtection="1">
      <alignment horizontal="center"/>
      <protection/>
    </xf>
    <xf numFmtId="0" fontId="24" fillId="0" borderId="0" xfId="0" applyFont="1" applyFill="1" applyAlignment="1" applyProtection="1">
      <alignment/>
      <protection/>
    </xf>
    <xf numFmtId="0" fontId="25" fillId="0" borderId="0" xfId="0" applyFont="1" applyFill="1" applyAlignment="1" applyProtection="1">
      <alignment/>
      <protection/>
    </xf>
    <xf numFmtId="3" fontId="24"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0" fontId="11" fillId="0" borderId="0" xfId="0" applyFont="1" applyBorder="1" applyAlignment="1" applyProtection="1">
      <alignment/>
      <protection/>
    </xf>
    <xf numFmtId="0" fontId="10" fillId="0" borderId="0" xfId="0" applyFont="1" applyFill="1" applyBorder="1" applyAlignment="1" applyProtection="1">
      <alignment horizontal="center"/>
      <protection/>
    </xf>
    <xf numFmtId="185" fontId="10" fillId="0" borderId="0" xfId="0" applyNumberFormat="1" applyFont="1" applyFill="1" applyBorder="1" applyAlignment="1" applyProtection="1">
      <alignment/>
      <protection/>
    </xf>
    <xf numFmtId="185" fontId="10" fillId="0" borderId="0" xfId="0" applyNumberFormat="1" applyFont="1" applyFill="1" applyBorder="1" applyAlignment="1" applyProtection="1">
      <alignment horizontal="center"/>
      <protection/>
    </xf>
    <xf numFmtId="1" fontId="10" fillId="0" borderId="0" xfId="0" applyNumberFormat="1" applyFont="1" applyFill="1" applyAlignment="1" applyProtection="1">
      <alignment horizontal="left"/>
      <protection/>
    </xf>
    <xf numFmtId="176" fontId="10" fillId="0" borderId="0" xfId="0" applyNumberFormat="1" applyFont="1" applyFill="1" applyAlignment="1" applyProtection="1">
      <alignment/>
      <protection/>
    </xf>
    <xf numFmtId="3" fontId="10" fillId="0" borderId="0" xfId="0" applyNumberFormat="1" applyFont="1" applyFill="1" applyAlignment="1" applyProtection="1">
      <alignment/>
      <protection/>
    </xf>
    <xf numFmtId="1" fontId="10" fillId="0" borderId="0" xfId="0" applyNumberFormat="1" applyFont="1" applyFill="1" applyBorder="1" applyAlignment="1" applyProtection="1">
      <alignment/>
      <protection/>
    </xf>
    <xf numFmtId="0" fontId="13" fillId="0" borderId="0" xfId="0" applyFont="1" applyFill="1" applyBorder="1" applyAlignment="1" applyProtection="1">
      <alignment/>
      <protection/>
    </xf>
    <xf numFmtId="3" fontId="10" fillId="0" borderId="0" xfId="0" applyNumberFormat="1" applyFont="1" applyAlignment="1" applyProtection="1">
      <alignment/>
      <protection locked="0"/>
    </xf>
    <xf numFmtId="0" fontId="10" fillId="0" borderId="0" xfId="0" applyFont="1" applyAlignment="1" applyProtection="1">
      <alignment horizontal="center"/>
      <protection locked="0"/>
    </xf>
    <xf numFmtId="0" fontId="10" fillId="0" borderId="0" xfId="0" applyFont="1" applyFill="1" applyBorder="1" applyAlignment="1" applyProtection="1">
      <alignment horizontal="left"/>
      <protection locked="0"/>
    </xf>
    <xf numFmtId="0" fontId="10" fillId="0" borderId="0" xfId="0" applyFont="1" applyFill="1" applyBorder="1" applyAlignment="1" applyProtection="1">
      <alignment/>
      <protection locked="0"/>
    </xf>
    <xf numFmtId="0" fontId="13" fillId="0" borderId="0" xfId="0" applyFont="1" applyFill="1" applyBorder="1" applyAlignment="1" applyProtection="1">
      <alignment horizontal="left"/>
      <protection locked="0"/>
    </xf>
    <xf numFmtId="0" fontId="11" fillId="0" borderId="0" xfId="0" applyFont="1" applyAlignment="1" applyProtection="1">
      <alignment/>
      <protection locked="0"/>
    </xf>
    <xf numFmtId="37" fontId="10" fillId="0" borderId="0" xfId="0" applyNumberFormat="1" applyFont="1" applyAlignment="1" applyProtection="1">
      <alignment/>
      <protection locked="0"/>
    </xf>
    <xf numFmtId="184" fontId="10" fillId="0" borderId="0" xfId="0" applyNumberFormat="1" applyFont="1" applyAlignment="1" applyProtection="1">
      <alignment/>
      <protection locked="0"/>
    </xf>
    <xf numFmtId="1" fontId="13" fillId="0" borderId="0" xfId="0" applyNumberFormat="1" applyFont="1" applyFill="1" applyBorder="1" applyAlignment="1" applyProtection="1">
      <alignment/>
      <protection/>
    </xf>
    <xf numFmtId="1" fontId="13" fillId="0" borderId="0" xfId="0" applyNumberFormat="1" applyFont="1" applyFill="1" applyBorder="1" applyAlignment="1" applyProtection="1">
      <alignment horizontal="right"/>
      <protection/>
    </xf>
    <xf numFmtId="0" fontId="10" fillId="0" borderId="0" xfId="0" applyFont="1" applyAlignment="1">
      <alignment wrapText="1"/>
    </xf>
    <xf numFmtId="0" fontId="28" fillId="0" borderId="0" xfId="0" applyFont="1" applyAlignment="1">
      <alignment/>
    </xf>
    <xf numFmtId="0" fontId="19" fillId="0" borderId="0" xfId="0" applyFont="1" applyFill="1" applyBorder="1" applyAlignment="1" applyProtection="1">
      <alignment horizontal="center"/>
      <protection/>
    </xf>
    <xf numFmtId="0" fontId="10" fillId="0" borderId="0" xfId="0" applyFont="1" applyFill="1" applyBorder="1" applyAlignment="1" applyProtection="1">
      <alignment horizontal="left" vertical="center" wrapText="1"/>
      <protection/>
    </xf>
    <xf numFmtId="1" fontId="13" fillId="0" borderId="0" xfId="0" applyNumberFormat="1" applyFont="1" applyFill="1" applyBorder="1" applyAlignment="1" applyProtection="1">
      <alignment horizontal="center"/>
      <protection/>
    </xf>
    <xf numFmtId="3" fontId="13"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3" fontId="10" fillId="0" borderId="0" xfId="0" applyNumberFormat="1" applyFont="1" applyFill="1" applyBorder="1" applyAlignment="1" applyProtection="1">
      <alignment horizontal="center"/>
      <protection/>
    </xf>
    <xf numFmtId="184" fontId="10" fillId="0" borderId="0" xfId="0" applyNumberFormat="1" applyFont="1" applyFill="1" applyBorder="1" applyAlignment="1" applyProtection="1">
      <alignment horizontal="center"/>
      <protection/>
    </xf>
    <xf numFmtId="184" fontId="13" fillId="0" borderId="0" xfId="0" applyNumberFormat="1" applyFont="1" applyFill="1" applyBorder="1" applyAlignment="1" applyProtection="1">
      <alignment horizontal="center"/>
      <protection/>
    </xf>
    <xf numFmtId="185" fontId="13" fillId="0" borderId="0" xfId="0" applyNumberFormat="1" applyFont="1" applyFill="1" applyBorder="1" applyAlignment="1" applyProtection="1">
      <alignment horizontal="center"/>
      <protection/>
    </xf>
    <xf numFmtId="189" fontId="10" fillId="0" borderId="0" xfId="0" applyNumberFormat="1" applyFont="1" applyFill="1" applyBorder="1" applyAlignment="1" applyProtection="1">
      <alignment horizontal="left"/>
      <protection/>
    </xf>
    <xf numFmtId="189" fontId="13" fillId="0" borderId="0" xfId="0" applyNumberFormat="1" applyFont="1" applyFill="1" applyBorder="1" applyAlignment="1" applyProtection="1">
      <alignment horizontal="left"/>
      <protection/>
    </xf>
    <xf numFmtId="1" fontId="10" fillId="0" borderId="0" xfId="0" applyNumberFormat="1" applyFont="1" applyFill="1" applyAlignment="1" applyProtection="1">
      <alignment horizontal="center"/>
      <protection/>
    </xf>
    <xf numFmtId="0" fontId="0" fillId="0" borderId="0" xfId="0" applyBorder="1" applyAlignment="1" applyProtection="1">
      <alignment/>
      <protection/>
    </xf>
    <xf numFmtId="184" fontId="10" fillId="0" borderId="0" xfId="0" applyNumberFormat="1" applyFont="1" applyFill="1" applyBorder="1" applyAlignment="1" applyProtection="1">
      <alignment/>
      <protection/>
    </xf>
    <xf numFmtId="184" fontId="10" fillId="0" borderId="0" xfId="0" applyNumberFormat="1" applyFont="1" applyFill="1" applyBorder="1" applyAlignment="1" applyProtection="1">
      <alignment/>
      <protection locked="0"/>
    </xf>
    <xf numFmtId="185" fontId="10" fillId="0" borderId="0" xfId="0" applyNumberFormat="1" applyFont="1" applyFill="1" applyAlignment="1" applyProtection="1">
      <alignment/>
      <protection/>
    </xf>
    <xf numFmtId="184" fontId="0" fillId="0" borderId="0" xfId="0" applyNumberFormat="1" applyFill="1" applyBorder="1" applyAlignment="1" applyProtection="1">
      <alignment/>
      <protection/>
    </xf>
    <xf numFmtId="0" fontId="9" fillId="0" borderId="0" xfId="0" applyFont="1" applyFill="1" applyAlignment="1" applyProtection="1">
      <alignment/>
      <protection/>
    </xf>
    <xf numFmtId="0" fontId="11" fillId="0" borderId="0" xfId="0" applyFont="1" applyFill="1" applyBorder="1" applyAlignment="1" applyProtection="1">
      <alignment horizontal="left"/>
      <protection/>
    </xf>
    <xf numFmtId="185" fontId="10" fillId="0" borderId="0" xfId="0" applyNumberFormat="1" applyFont="1" applyAlignment="1" applyProtection="1">
      <alignment horizontal="center"/>
      <protection/>
    </xf>
    <xf numFmtId="0" fontId="19" fillId="0" borderId="0" xfId="0" applyFont="1" applyFill="1" applyAlignment="1" applyProtection="1">
      <alignment horizontal="left"/>
      <protection/>
    </xf>
    <xf numFmtId="185" fontId="10" fillId="0" borderId="0" xfId="0" applyNumberFormat="1" applyFont="1" applyFill="1" applyBorder="1" applyAlignment="1" applyProtection="1">
      <alignment horizontal="right"/>
      <protection/>
    </xf>
    <xf numFmtId="0" fontId="0" fillId="0" borderId="0" xfId="0" applyFill="1" applyAlignment="1" applyProtection="1">
      <alignment horizontal="center"/>
      <protection/>
    </xf>
    <xf numFmtId="191" fontId="14" fillId="0" borderId="0" xfId="0" applyNumberFormat="1" applyFont="1" applyFill="1" applyBorder="1" applyAlignment="1" applyProtection="1">
      <alignment horizontal="right"/>
      <protection/>
    </xf>
    <xf numFmtId="185" fontId="13" fillId="0" borderId="0" xfId="0" applyNumberFormat="1" applyFont="1" applyFill="1" applyBorder="1" applyAlignment="1" applyProtection="1">
      <alignment horizontal="right"/>
      <protection/>
    </xf>
    <xf numFmtId="192" fontId="13" fillId="0" borderId="0" xfId="0" applyNumberFormat="1" applyFont="1" applyFill="1" applyBorder="1" applyAlignment="1" applyProtection="1">
      <alignment/>
      <protection/>
    </xf>
    <xf numFmtId="192" fontId="13" fillId="0" borderId="0" xfId="0" applyNumberFormat="1" applyFont="1" applyFill="1" applyAlignment="1" applyProtection="1">
      <alignment/>
      <protection/>
    </xf>
    <xf numFmtId="0" fontId="10" fillId="26" borderId="11" xfId="0" applyFont="1" applyFill="1" applyBorder="1" applyAlignment="1" applyProtection="1">
      <alignment/>
      <protection/>
    </xf>
    <xf numFmtId="0" fontId="10" fillId="26" borderId="0" xfId="0" applyFont="1" applyFill="1" applyBorder="1" applyAlignment="1" applyProtection="1">
      <alignment/>
      <protection/>
    </xf>
    <xf numFmtId="0" fontId="5" fillId="25" borderId="16" xfId="0" applyFont="1" applyFill="1" applyBorder="1" applyAlignment="1" applyProtection="1">
      <alignment horizontal="center"/>
      <protection/>
    </xf>
    <xf numFmtId="1" fontId="5" fillId="25" borderId="16" xfId="0" applyNumberFormat="1" applyFont="1" applyFill="1" applyBorder="1" applyAlignment="1" applyProtection="1">
      <alignment horizontal="center"/>
      <protection/>
    </xf>
    <xf numFmtId="3" fontId="5" fillId="25" borderId="17" xfId="0" applyNumberFormat="1" applyFont="1" applyFill="1" applyBorder="1" applyAlignment="1" applyProtection="1">
      <alignment horizontal="center"/>
      <protection/>
    </xf>
    <xf numFmtId="1" fontId="5" fillId="25" borderId="17" xfId="0" applyNumberFormat="1" applyFont="1" applyFill="1" applyBorder="1" applyAlignment="1" applyProtection="1">
      <alignment horizontal="center"/>
      <protection/>
    </xf>
    <xf numFmtId="1" fontId="5" fillId="25" borderId="18" xfId="0" applyNumberFormat="1" applyFont="1" applyFill="1" applyBorder="1" applyAlignment="1" applyProtection="1">
      <alignment horizontal="center"/>
      <protection/>
    </xf>
    <xf numFmtId="0" fontId="10" fillId="10" borderId="19" xfId="0" applyFont="1" applyFill="1" applyBorder="1" applyAlignment="1" applyProtection="1">
      <alignment/>
      <protection/>
    </xf>
    <xf numFmtId="0" fontId="10" fillId="10" borderId="20" xfId="0" applyFont="1" applyFill="1" applyBorder="1" applyAlignment="1" applyProtection="1">
      <alignment/>
      <protection/>
    </xf>
    <xf numFmtId="0" fontId="5" fillId="27" borderId="21" xfId="0" applyFont="1" applyFill="1" applyBorder="1" applyAlignment="1" applyProtection="1">
      <alignment/>
      <protection/>
    </xf>
    <xf numFmtId="1" fontId="5" fillId="27" borderId="21" xfId="0" applyNumberFormat="1" applyFont="1" applyFill="1" applyBorder="1" applyAlignment="1" applyProtection="1">
      <alignment/>
      <protection/>
    </xf>
    <xf numFmtId="1" fontId="5" fillId="27" borderId="22" xfId="0" applyNumberFormat="1" applyFont="1" applyFill="1" applyBorder="1" applyAlignment="1" applyProtection="1">
      <alignment/>
      <protection/>
    </xf>
    <xf numFmtId="37" fontId="10" fillId="0" borderId="0" xfId="0" applyNumberFormat="1" applyFont="1" applyFill="1" applyBorder="1" applyAlignment="1" applyProtection="1">
      <alignment horizontal="center"/>
      <protection/>
    </xf>
    <xf numFmtId="37" fontId="12" fillId="0" borderId="0" xfId="0" applyNumberFormat="1" applyFont="1" applyFill="1" applyBorder="1" applyAlignment="1" applyProtection="1">
      <alignment horizontal="center"/>
      <protection/>
    </xf>
    <xf numFmtId="37" fontId="10" fillId="0" borderId="0" xfId="0" applyNumberFormat="1" applyFont="1" applyFill="1" applyBorder="1" applyAlignment="1" applyProtection="1">
      <alignment/>
      <protection/>
    </xf>
    <xf numFmtId="178" fontId="10" fillId="0" borderId="0" xfId="0" applyNumberFormat="1" applyFont="1" applyFill="1" applyBorder="1" applyAlignment="1" applyProtection="1">
      <alignment/>
      <protection/>
    </xf>
    <xf numFmtId="178" fontId="13" fillId="0" borderId="0" xfId="0" applyNumberFormat="1" applyFont="1" applyFill="1" applyBorder="1" applyAlignment="1" applyProtection="1">
      <alignment/>
      <protection/>
    </xf>
    <xf numFmtId="0" fontId="0" fillId="0" borderId="0" xfId="0" applyFill="1" applyAlignment="1">
      <alignment/>
    </xf>
    <xf numFmtId="176" fontId="10" fillId="0" borderId="0" xfId="0" applyNumberFormat="1" applyFont="1" applyFill="1" applyBorder="1" applyAlignment="1" applyProtection="1">
      <alignment/>
      <protection/>
    </xf>
    <xf numFmtId="0" fontId="13" fillId="0" borderId="0" xfId="0" applyFont="1" applyFill="1" applyBorder="1" applyAlignment="1" applyProtection="1">
      <alignment horizontal="right"/>
      <protection/>
    </xf>
    <xf numFmtId="37" fontId="13" fillId="0" borderId="0" xfId="0" applyNumberFormat="1" applyFont="1" applyFill="1" applyBorder="1" applyAlignment="1" applyProtection="1">
      <alignment/>
      <protection/>
    </xf>
    <xf numFmtId="0" fontId="10" fillId="0" borderId="0" xfId="0" applyFont="1" applyFill="1" applyAlignment="1" applyProtection="1">
      <alignment horizontal="right"/>
      <protection locked="0"/>
    </xf>
    <xf numFmtId="184" fontId="13" fillId="0" borderId="0" xfId="0" applyNumberFormat="1" applyFont="1" applyFill="1" applyBorder="1" applyAlignment="1" applyProtection="1">
      <alignment horizontal="center"/>
      <protection locked="0"/>
    </xf>
    <xf numFmtId="0" fontId="11" fillId="0" borderId="0" xfId="0" applyFont="1" applyAlignment="1" applyProtection="1">
      <alignment horizontal="center"/>
      <protection locked="0"/>
    </xf>
    <xf numFmtId="0" fontId="10" fillId="0" borderId="0" xfId="0" applyFont="1" applyFill="1" applyAlignment="1" applyProtection="1">
      <alignment horizontal="center"/>
      <protection/>
    </xf>
    <xf numFmtId="0" fontId="21" fillId="0" borderId="0" xfId="0" applyFont="1" applyFill="1" applyBorder="1" applyAlignment="1" applyProtection="1">
      <alignment horizontal="center"/>
      <protection/>
    </xf>
    <xf numFmtId="0" fontId="19" fillId="0" borderId="0" xfId="0" applyFont="1" applyFill="1" applyBorder="1" applyAlignment="1" applyProtection="1">
      <alignment horizontal="left"/>
      <protection/>
    </xf>
    <xf numFmtId="0" fontId="31" fillId="0" borderId="0" xfId="0" applyFont="1" applyFill="1" applyAlignment="1" applyProtection="1">
      <alignment/>
      <protection/>
    </xf>
    <xf numFmtId="0" fontId="0" fillId="28" borderId="0" xfId="0" applyFill="1" applyBorder="1" applyAlignment="1">
      <alignment/>
    </xf>
    <xf numFmtId="0" fontId="27" fillId="0" borderId="0" xfId="0" applyFont="1" applyAlignment="1">
      <alignment horizontal="center" vertical="top"/>
    </xf>
    <xf numFmtId="0" fontId="27" fillId="28" borderId="23" xfId="0" applyFont="1" applyFill="1" applyBorder="1" applyAlignment="1">
      <alignment horizontal="center" vertical="top"/>
    </xf>
    <xf numFmtId="0" fontId="27" fillId="28" borderId="24" xfId="0" applyFont="1" applyFill="1" applyBorder="1" applyAlignment="1">
      <alignment horizontal="center" vertical="top"/>
    </xf>
    <xf numFmtId="0" fontId="29" fillId="28" borderId="24" xfId="0" applyFont="1" applyFill="1" applyBorder="1" applyAlignment="1">
      <alignment horizontal="center" vertical="top"/>
    </xf>
    <xf numFmtId="0" fontId="0" fillId="28" borderId="25" xfId="0" applyFill="1" applyBorder="1" applyAlignment="1">
      <alignment/>
    </xf>
    <xf numFmtId="0" fontId="0" fillId="28" borderId="0" xfId="0" applyFill="1" applyBorder="1" applyAlignment="1">
      <alignment horizontal="center"/>
    </xf>
    <xf numFmtId="0" fontId="39" fillId="28" borderId="25" xfId="0" applyFont="1" applyFill="1" applyBorder="1" applyAlignment="1">
      <alignment horizontal="centerContinuous" wrapText="1"/>
    </xf>
    <xf numFmtId="0" fontId="39" fillId="28" borderId="0" xfId="0" applyFont="1" applyFill="1" applyBorder="1" applyAlignment="1">
      <alignment horizontal="centerContinuous" wrapText="1"/>
    </xf>
    <xf numFmtId="0" fontId="36" fillId="28" borderId="25" xfId="0" applyFont="1" applyFill="1" applyBorder="1" applyAlignment="1">
      <alignment/>
    </xf>
    <xf numFmtId="0" fontId="36" fillId="28" borderId="0" xfId="0" applyFont="1" applyFill="1" applyBorder="1" applyAlignment="1">
      <alignment/>
    </xf>
    <xf numFmtId="0" fontId="38" fillId="28" borderId="25" xfId="0" applyFont="1" applyFill="1" applyBorder="1" applyAlignment="1">
      <alignment wrapText="1"/>
    </xf>
    <xf numFmtId="0" fontId="38" fillId="28" borderId="0" xfId="0" applyFont="1" applyFill="1" applyBorder="1" applyAlignment="1">
      <alignment wrapText="1"/>
    </xf>
    <xf numFmtId="0" fontId="40" fillId="28" borderId="25" xfId="0" applyFont="1" applyFill="1" applyBorder="1" applyAlignment="1">
      <alignment wrapText="1"/>
    </xf>
    <xf numFmtId="0" fontId="42" fillId="28" borderId="0" xfId="0" applyFont="1" applyFill="1" applyBorder="1" applyAlignment="1">
      <alignment horizontal="center"/>
    </xf>
    <xf numFmtId="0" fontId="43" fillId="28" borderId="0" xfId="0" applyFont="1" applyFill="1" applyBorder="1" applyAlignment="1">
      <alignment/>
    </xf>
    <xf numFmtId="0" fontId="38" fillId="28" borderId="25" xfId="0" applyFont="1" applyFill="1" applyBorder="1" applyAlignment="1">
      <alignment horizontal="center"/>
    </xf>
    <xf numFmtId="0" fontId="38" fillId="28" borderId="0" xfId="0" applyFont="1" applyFill="1" applyBorder="1" applyAlignment="1">
      <alignment horizontal="center"/>
    </xf>
    <xf numFmtId="0" fontId="0" fillId="0" borderId="0" xfId="0" applyFont="1" applyAlignment="1">
      <alignment/>
    </xf>
    <xf numFmtId="0" fontId="13" fillId="28" borderId="13" xfId="0" applyFont="1" applyFill="1" applyBorder="1" applyAlignment="1" applyProtection="1">
      <alignment/>
      <protection/>
    </xf>
    <xf numFmtId="0" fontId="13" fillId="28" borderId="0" xfId="0" applyFont="1" applyFill="1" applyBorder="1" applyAlignment="1" applyProtection="1">
      <alignment/>
      <protection/>
    </xf>
    <xf numFmtId="0" fontId="13" fillId="28" borderId="24" xfId="0" applyFont="1" applyFill="1" applyBorder="1" applyAlignment="1" applyProtection="1">
      <alignment horizontal="center"/>
      <protection/>
    </xf>
    <xf numFmtId="0" fontId="13" fillId="28" borderId="26" xfId="0" applyFont="1" applyFill="1" applyBorder="1" applyAlignment="1" applyProtection="1">
      <alignment horizontal="center"/>
      <protection/>
    </xf>
    <xf numFmtId="0" fontId="10" fillId="28" borderId="0" xfId="0" applyFont="1" applyFill="1" applyBorder="1" applyAlignment="1" applyProtection="1">
      <alignment horizontal="center"/>
      <protection/>
    </xf>
    <xf numFmtId="1" fontId="13" fillId="28" borderId="27" xfId="0" applyNumberFormat="1" applyFont="1" applyFill="1" applyBorder="1" applyAlignment="1" applyProtection="1">
      <alignment horizontal="center"/>
      <protection/>
    </xf>
    <xf numFmtId="0" fontId="13" fillId="28" borderId="28" xfId="0" applyFont="1" applyFill="1" applyBorder="1" applyAlignment="1" applyProtection="1">
      <alignment horizontal="center"/>
      <protection/>
    </xf>
    <xf numFmtId="0" fontId="13" fillId="28" borderId="29" xfId="0" applyFont="1" applyFill="1" applyBorder="1" applyAlignment="1" applyProtection="1">
      <alignment horizontal="center"/>
      <protection/>
    </xf>
    <xf numFmtId="0" fontId="10" fillId="28" borderId="30" xfId="0" applyFont="1" applyFill="1" applyBorder="1" applyAlignment="1" applyProtection="1">
      <alignment/>
      <protection/>
    </xf>
    <xf numFmtId="0" fontId="10" fillId="28" borderId="0" xfId="0" applyFont="1" applyFill="1" applyBorder="1" applyAlignment="1" applyProtection="1">
      <alignment horizontal="left"/>
      <protection/>
    </xf>
    <xf numFmtId="1" fontId="13" fillId="28" borderId="14" xfId="0" applyNumberFormat="1" applyFont="1" applyFill="1" applyBorder="1" applyAlignment="1" applyProtection="1">
      <alignment horizontal="center"/>
      <protection/>
    </xf>
    <xf numFmtId="0" fontId="10" fillId="28" borderId="31" xfId="0" applyFont="1" applyFill="1" applyBorder="1" applyAlignment="1" applyProtection="1">
      <alignment horizontal="right"/>
      <protection/>
    </xf>
    <xf numFmtId="0" fontId="13" fillId="28" borderId="32" xfId="0" applyFont="1" applyFill="1" applyBorder="1" applyAlignment="1" applyProtection="1">
      <alignment horizontal="right"/>
      <protection/>
    </xf>
    <xf numFmtId="0" fontId="10" fillId="28" borderId="15" xfId="0" applyFont="1" applyFill="1" applyBorder="1" applyAlignment="1" applyProtection="1">
      <alignment horizontal="center"/>
      <protection/>
    </xf>
    <xf numFmtId="188" fontId="3" fillId="28" borderId="30" xfId="0" applyNumberFormat="1" applyFont="1" applyFill="1" applyBorder="1" applyAlignment="1" applyProtection="1">
      <alignment/>
      <protection/>
    </xf>
    <xf numFmtId="1" fontId="13" fillId="28" borderId="14" xfId="0" applyNumberFormat="1" applyFont="1" applyFill="1" applyBorder="1" applyAlignment="1" applyProtection="1">
      <alignment horizontal="right"/>
      <protection/>
    </xf>
    <xf numFmtId="0" fontId="10" fillId="28" borderId="13" xfId="0" applyFont="1" applyFill="1" applyBorder="1" applyAlignment="1" applyProtection="1">
      <alignment horizontal="right"/>
      <protection/>
    </xf>
    <xf numFmtId="0" fontId="13" fillId="28" borderId="0" xfId="0" applyFont="1" applyFill="1" applyBorder="1" applyAlignment="1" applyProtection="1">
      <alignment horizontal="right"/>
      <protection/>
    </xf>
    <xf numFmtId="188" fontId="10" fillId="28" borderId="30" xfId="0" applyNumberFormat="1" applyFont="1" applyFill="1" applyBorder="1" applyAlignment="1" applyProtection="1">
      <alignment horizontal="center"/>
      <protection/>
    </xf>
    <xf numFmtId="1" fontId="10" fillId="28" borderId="15" xfId="0" applyNumberFormat="1" applyFont="1" applyFill="1" applyBorder="1" applyAlignment="1" applyProtection="1">
      <alignment horizontal="center"/>
      <protection/>
    </xf>
    <xf numFmtId="1" fontId="10" fillId="28" borderId="33" xfId="0" applyNumberFormat="1" applyFont="1" applyFill="1" applyBorder="1" applyAlignment="1" applyProtection="1">
      <alignment horizontal="center"/>
      <protection/>
    </xf>
    <xf numFmtId="2" fontId="10" fillId="28" borderId="34" xfId="0" applyNumberFormat="1" applyFont="1" applyFill="1" applyBorder="1" applyAlignment="1" applyProtection="1">
      <alignment horizontal="center"/>
      <protection locked="0"/>
    </xf>
    <xf numFmtId="1" fontId="10" fillId="28" borderId="19" xfId="0" applyNumberFormat="1" applyFont="1" applyFill="1" applyBorder="1" applyAlignment="1" applyProtection="1">
      <alignment horizontal="center"/>
      <protection/>
    </xf>
    <xf numFmtId="0" fontId="13" fillId="28" borderId="35" xfId="0" applyFont="1" applyFill="1" applyBorder="1" applyAlignment="1" applyProtection="1">
      <alignment horizontal="right"/>
      <protection/>
    </xf>
    <xf numFmtId="0" fontId="13" fillId="28" borderId="36" xfId="0" applyFont="1" applyFill="1" applyBorder="1" applyAlignment="1" applyProtection="1">
      <alignment horizontal="right"/>
      <protection/>
    </xf>
    <xf numFmtId="1" fontId="13" fillId="28" borderId="36" xfId="0" applyNumberFormat="1" applyFont="1" applyFill="1" applyBorder="1" applyAlignment="1" applyProtection="1">
      <alignment horizontal="right"/>
      <protection/>
    </xf>
    <xf numFmtId="0" fontId="10" fillId="28" borderId="36" xfId="0" applyFont="1" applyFill="1" applyBorder="1" applyAlignment="1" applyProtection="1">
      <alignment/>
      <protection/>
    </xf>
    <xf numFmtId="0" fontId="13" fillId="28" borderId="37" xfId="0" applyFont="1" applyFill="1" applyBorder="1" applyAlignment="1" applyProtection="1">
      <alignment horizontal="center"/>
      <protection/>
    </xf>
    <xf numFmtId="0" fontId="10" fillId="28" borderId="36" xfId="0" applyFont="1" applyFill="1" applyBorder="1" applyAlignment="1" applyProtection="1">
      <alignment horizontal="center"/>
      <protection/>
    </xf>
    <xf numFmtId="0" fontId="13" fillId="28" borderId="38" xfId="0" applyFont="1" applyFill="1" applyBorder="1" applyAlignment="1" applyProtection="1">
      <alignment horizontal="center"/>
      <protection/>
    </xf>
    <xf numFmtId="0" fontId="13" fillId="28" borderId="36" xfId="0" applyFont="1" applyFill="1" applyBorder="1" applyAlignment="1" applyProtection="1">
      <alignment horizontal="left"/>
      <protection/>
    </xf>
    <xf numFmtId="3" fontId="13" fillId="28" borderId="39" xfId="0" applyNumberFormat="1" applyFont="1" applyFill="1" applyBorder="1" applyAlignment="1" applyProtection="1">
      <alignment horizontal="center"/>
      <protection/>
    </xf>
    <xf numFmtId="0" fontId="13" fillId="28" borderId="21" xfId="0" applyFont="1" applyFill="1" applyBorder="1" applyAlignment="1" applyProtection="1">
      <alignment horizontal="center"/>
      <protection/>
    </xf>
    <xf numFmtId="0" fontId="13" fillId="28" borderId="34" xfId="0" applyFont="1" applyFill="1" applyBorder="1" applyAlignment="1" applyProtection="1">
      <alignment horizontal="center"/>
      <protection/>
    </xf>
    <xf numFmtId="0" fontId="10" fillId="28" borderId="21" xfId="0" applyFont="1" applyFill="1" applyBorder="1" applyAlignment="1" applyProtection="1">
      <alignment/>
      <protection/>
    </xf>
    <xf numFmtId="0" fontId="10" fillId="28" borderId="34" xfId="0" applyFont="1" applyFill="1" applyBorder="1" applyAlignment="1" applyProtection="1">
      <alignment/>
      <protection/>
    </xf>
    <xf numFmtId="0" fontId="13" fillId="28" borderId="40" xfId="0" applyFont="1" applyFill="1" applyBorder="1" applyAlignment="1" applyProtection="1">
      <alignment/>
      <protection/>
    </xf>
    <xf numFmtId="0" fontId="13" fillId="28" borderId="24" xfId="0" applyFont="1" applyFill="1" applyBorder="1" applyAlignment="1" applyProtection="1">
      <alignment/>
      <protection/>
    </xf>
    <xf numFmtId="0" fontId="10" fillId="28" borderId="24" xfId="0" applyFont="1" applyFill="1" applyBorder="1" applyAlignment="1" applyProtection="1">
      <alignment horizontal="center"/>
      <protection/>
    </xf>
    <xf numFmtId="3" fontId="10" fillId="28" borderId="41" xfId="0" applyNumberFormat="1" applyFont="1" applyFill="1" applyBorder="1" applyAlignment="1" applyProtection="1">
      <alignment horizontal="center"/>
      <protection/>
    </xf>
    <xf numFmtId="0" fontId="10" fillId="28" borderId="40" xfId="0" applyFont="1" applyFill="1" applyBorder="1" applyAlignment="1" applyProtection="1">
      <alignment horizontal="center"/>
      <protection/>
    </xf>
    <xf numFmtId="1" fontId="10" fillId="28" borderId="0" xfId="0" applyNumberFormat="1" applyFont="1" applyFill="1" applyBorder="1" applyAlignment="1" applyProtection="1">
      <alignment horizontal="center"/>
      <protection/>
    </xf>
    <xf numFmtId="3" fontId="10" fillId="28" borderId="14" xfId="0" applyNumberFormat="1" applyFont="1" applyFill="1" applyBorder="1" applyAlignment="1" applyProtection="1">
      <alignment horizontal="center"/>
      <protection/>
    </xf>
    <xf numFmtId="0" fontId="10" fillId="28" borderId="13" xfId="0" applyFont="1" applyFill="1" applyBorder="1" applyAlignment="1" applyProtection="1">
      <alignment horizontal="center"/>
      <protection/>
    </xf>
    <xf numFmtId="0" fontId="10" fillId="28" borderId="42" xfId="0" applyFont="1" applyFill="1" applyBorder="1" applyAlignment="1" applyProtection="1">
      <alignment horizontal="right"/>
      <protection/>
    </xf>
    <xf numFmtId="0" fontId="13" fillId="28" borderId="43" xfId="0" applyFont="1" applyFill="1" applyBorder="1" applyAlignment="1" applyProtection="1">
      <alignment horizontal="left"/>
      <protection/>
    </xf>
    <xf numFmtId="1" fontId="10" fillId="28" borderId="43" xfId="0" applyNumberFormat="1" applyFont="1" applyFill="1" applyBorder="1" applyAlignment="1" applyProtection="1">
      <alignment horizontal="center"/>
      <protection/>
    </xf>
    <xf numFmtId="3" fontId="10" fillId="28" borderId="44" xfId="0" applyNumberFormat="1" applyFont="1" applyFill="1" applyBorder="1" applyAlignment="1" applyProtection="1">
      <alignment horizontal="center"/>
      <protection/>
    </xf>
    <xf numFmtId="0" fontId="10" fillId="28" borderId="42" xfId="0" applyFont="1" applyFill="1" applyBorder="1" applyAlignment="1" applyProtection="1">
      <alignment horizontal="center"/>
      <protection/>
    </xf>
    <xf numFmtId="186" fontId="10" fillId="28" borderId="43" xfId="0" applyNumberFormat="1" applyFont="1" applyFill="1" applyBorder="1" applyAlignment="1" applyProtection="1">
      <alignment horizontal="center"/>
      <protection/>
    </xf>
    <xf numFmtId="0" fontId="10" fillId="28" borderId="0" xfId="0" applyFont="1" applyFill="1" applyBorder="1" applyAlignment="1" applyProtection="1">
      <alignment/>
      <protection/>
    </xf>
    <xf numFmtId="0" fontId="10" fillId="28" borderId="45" xfId="0" applyFont="1" applyFill="1" applyBorder="1" applyAlignment="1" applyProtection="1">
      <alignment horizontal="center"/>
      <protection/>
    </xf>
    <xf numFmtId="0" fontId="10" fillId="28" borderId="14" xfId="0" applyFont="1" applyFill="1" applyBorder="1" applyAlignment="1" applyProtection="1">
      <alignment horizontal="center"/>
      <protection/>
    </xf>
    <xf numFmtId="9" fontId="13" fillId="28" borderId="0" xfId="0" applyNumberFormat="1" applyFont="1" applyFill="1" applyBorder="1" applyAlignment="1" applyProtection="1">
      <alignment horizontal="right"/>
      <protection/>
    </xf>
    <xf numFmtId="0" fontId="13" fillId="28" borderId="35" xfId="0" applyFont="1" applyFill="1" applyBorder="1" applyAlignment="1" applyProtection="1">
      <alignment/>
      <protection/>
    </xf>
    <xf numFmtId="1" fontId="10" fillId="28" borderId="36" xfId="0" applyNumberFormat="1" applyFont="1" applyFill="1" applyBorder="1" applyAlignment="1" applyProtection="1">
      <alignment horizontal="center"/>
      <protection/>
    </xf>
    <xf numFmtId="1" fontId="13" fillId="28" borderId="36" xfId="0" applyNumberFormat="1" applyFont="1" applyFill="1" applyBorder="1" applyAlignment="1" applyProtection="1">
      <alignment horizontal="center"/>
      <protection/>
    </xf>
    <xf numFmtId="1" fontId="13" fillId="28" borderId="35" xfId="0" applyNumberFormat="1" applyFont="1" applyFill="1" applyBorder="1" applyAlignment="1" applyProtection="1">
      <alignment horizontal="center"/>
      <protection/>
    </xf>
    <xf numFmtId="0" fontId="10" fillId="28" borderId="35" xfId="0" applyFont="1" applyFill="1" applyBorder="1" applyAlignment="1" applyProtection="1">
      <alignment horizontal="center"/>
      <protection/>
    </xf>
    <xf numFmtId="0" fontId="10" fillId="28" borderId="35" xfId="0" applyFont="1" applyFill="1" applyBorder="1" applyAlignment="1" applyProtection="1">
      <alignment/>
      <protection/>
    </xf>
    <xf numFmtId="1" fontId="13" fillId="28" borderId="36" xfId="0" applyNumberFormat="1" applyFont="1" applyFill="1" applyBorder="1" applyAlignment="1" applyProtection="1">
      <alignment/>
      <protection/>
    </xf>
    <xf numFmtId="0" fontId="9" fillId="28" borderId="10" xfId="0" applyFont="1" applyFill="1" applyBorder="1" applyAlignment="1" applyProtection="1">
      <alignment/>
      <protection/>
    </xf>
    <xf numFmtId="0" fontId="9" fillId="28" borderId="11" xfId="0" applyFont="1" applyFill="1" applyBorder="1" applyAlignment="1" applyProtection="1">
      <alignment/>
      <protection/>
    </xf>
    <xf numFmtId="0" fontId="13" fillId="28" borderId="11" xfId="0" applyFont="1" applyFill="1" applyBorder="1" applyAlignment="1" applyProtection="1">
      <alignment horizontal="center"/>
      <protection/>
    </xf>
    <xf numFmtId="0" fontId="13" fillId="28" borderId="11" xfId="0" applyFont="1" applyFill="1" applyBorder="1" applyAlignment="1" applyProtection="1">
      <alignment horizontal="left"/>
      <protection/>
    </xf>
    <xf numFmtId="0" fontId="13" fillId="28" borderId="12" xfId="0" applyFont="1" applyFill="1" applyBorder="1" applyAlignment="1" applyProtection="1">
      <alignment horizontal="center"/>
      <protection/>
    </xf>
    <xf numFmtId="1" fontId="22" fillId="28" borderId="0" xfId="0" applyNumberFormat="1" applyFont="1" applyFill="1" applyBorder="1" applyAlignment="1" applyProtection="1">
      <alignment/>
      <protection/>
    </xf>
    <xf numFmtId="0" fontId="22" fillId="28" borderId="0" xfId="0" applyFont="1" applyFill="1" applyBorder="1" applyAlignment="1" applyProtection="1">
      <alignment horizontal="center"/>
      <protection/>
    </xf>
    <xf numFmtId="0" fontId="21" fillId="28" borderId="0" xfId="0" applyFont="1" applyFill="1" applyBorder="1" applyAlignment="1" applyProtection="1">
      <alignment horizontal="center"/>
      <protection/>
    </xf>
    <xf numFmtId="0" fontId="10" fillId="28" borderId="0" xfId="0" applyFont="1" applyFill="1" applyBorder="1" applyAlignment="1" applyProtection="1">
      <alignment horizontal="right"/>
      <protection/>
    </xf>
    <xf numFmtId="3" fontId="10" fillId="28" borderId="0" xfId="0" applyNumberFormat="1" applyFont="1" applyFill="1" applyBorder="1" applyAlignment="1" applyProtection="1">
      <alignment horizontal="center"/>
      <protection/>
    </xf>
    <xf numFmtId="184" fontId="10" fillId="28" borderId="14" xfId="0" applyNumberFormat="1" applyFont="1" applyFill="1" applyBorder="1" applyAlignment="1" applyProtection="1">
      <alignment horizontal="center"/>
      <protection/>
    </xf>
    <xf numFmtId="3" fontId="10" fillId="28" borderId="0" xfId="0" applyNumberFormat="1" applyFont="1" applyFill="1" applyBorder="1" applyAlignment="1" applyProtection="1">
      <alignment/>
      <protection/>
    </xf>
    <xf numFmtId="188" fontId="21" fillId="28" borderId="0" xfId="0" applyNumberFormat="1" applyFont="1" applyFill="1" applyBorder="1" applyAlignment="1" applyProtection="1">
      <alignment horizontal="center"/>
      <protection/>
    </xf>
    <xf numFmtId="0" fontId="10" fillId="28" borderId="43" xfId="0" applyFont="1" applyFill="1" applyBorder="1" applyAlignment="1" applyProtection="1">
      <alignment horizontal="right"/>
      <protection/>
    </xf>
    <xf numFmtId="3" fontId="10" fillId="28" borderId="43" xfId="0" applyNumberFormat="1" applyFont="1" applyFill="1" applyBorder="1" applyAlignment="1" applyProtection="1">
      <alignment/>
      <protection/>
    </xf>
    <xf numFmtId="3" fontId="10" fillId="28" borderId="43" xfId="0" applyNumberFormat="1" applyFont="1" applyFill="1" applyBorder="1" applyAlignment="1" applyProtection="1">
      <alignment horizontal="center"/>
      <protection/>
    </xf>
    <xf numFmtId="188" fontId="21" fillId="28" borderId="43" xfId="0" applyNumberFormat="1" applyFont="1" applyFill="1" applyBorder="1" applyAlignment="1" applyProtection="1">
      <alignment horizontal="center"/>
      <protection/>
    </xf>
    <xf numFmtId="184" fontId="10" fillId="28" borderId="44" xfId="0" applyNumberFormat="1" applyFont="1" applyFill="1" applyBorder="1" applyAlignment="1" applyProtection="1">
      <alignment horizontal="center"/>
      <protection/>
    </xf>
    <xf numFmtId="0" fontId="13" fillId="28" borderId="13" xfId="0" applyFont="1" applyFill="1" applyBorder="1" applyAlignment="1" applyProtection="1">
      <alignment horizontal="right"/>
      <protection/>
    </xf>
    <xf numFmtId="1" fontId="13" fillId="28" borderId="0" xfId="0" applyNumberFormat="1" applyFont="1" applyFill="1" applyBorder="1" applyAlignment="1" applyProtection="1">
      <alignment/>
      <protection/>
    </xf>
    <xf numFmtId="0" fontId="9" fillId="28" borderId="0" xfId="0" applyFont="1" applyFill="1" applyBorder="1" applyAlignment="1" applyProtection="1">
      <alignment horizontal="center"/>
      <protection/>
    </xf>
    <xf numFmtId="1" fontId="13" fillId="28" borderId="0" xfId="0" applyNumberFormat="1" applyFont="1" applyFill="1" applyBorder="1" applyAlignment="1" applyProtection="1">
      <alignment horizontal="center"/>
      <protection/>
    </xf>
    <xf numFmtId="2" fontId="13" fillId="28" borderId="0" xfId="0" applyNumberFormat="1" applyFont="1" applyFill="1" applyBorder="1" applyAlignment="1" applyProtection="1">
      <alignment horizontal="center"/>
      <protection/>
    </xf>
    <xf numFmtId="184" fontId="13" fillId="28" borderId="14" xfId="0" applyNumberFormat="1" applyFont="1" applyFill="1" applyBorder="1" applyAlignment="1" applyProtection="1">
      <alignment horizontal="center"/>
      <protection/>
    </xf>
    <xf numFmtId="0" fontId="10" fillId="28" borderId="46" xfId="0" applyFont="1" applyFill="1" applyBorder="1" applyAlignment="1" applyProtection="1">
      <alignment horizontal="right"/>
      <protection/>
    </xf>
    <xf numFmtId="1" fontId="10" fillId="28" borderId="46" xfId="0" applyNumberFormat="1" applyFont="1" applyFill="1" applyBorder="1" applyAlignment="1" applyProtection="1">
      <alignment horizontal="center"/>
      <protection/>
    </xf>
    <xf numFmtId="188" fontId="21" fillId="28" borderId="46" xfId="0" applyNumberFormat="1" applyFont="1" applyFill="1" applyBorder="1" applyAlignment="1" applyProtection="1">
      <alignment/>
      <protection/>
    </xf>
    <xf numFmtId="184" fontId="10" fillId="28" borderId="47" xfId="0" applyNumberFormat="1" applyFont="1" applyFill="1" applyBorder="1" applyAlignment="1" applyProtection="1">
      <alignment horizontal="center"/>
      <protection/>
    </xf>
    <xf numFmtId="1" fontId="13" fillId="28" borderId="0" xfId="0" applyNumberFormat="1" applyFont="1" applyFill="1" applyBorder="1" applyAlignment="1" applyProtection="1">
      <alignment/>
      <protection locked="0"/>
    </xf>
    <xf numFmtId="0" fontId="13" fillId="28" borderId="0" xfId="0" applyFont="1" applyFill="1" applyBorder="1" applyAlignment="1" applyProtection="1">
      <alignment horizontal="center"/>
      <protection/>
    </xf>
    <xf numFmtId="1" fontId="30" fillId="28" borderId="0" xfId="0" applyNumberFormat="1" applyFont="1" applyFill="1" applyBorder="1" applyAlignment="1" applyProtection="1">
      <alignment horizontal="right"/>
      <protection/>
    </xf>
    <xf numFmtId="185" fontId="13" fillId="28" borderId="14" xfId="0" applyNumberFormat="1" applyFont="1" applyFill="1" applyBorder="1" applyAlignment="1" applyProtection="1">
      <alignment horizontal="center"/>
      <protection/>
    </xf>
    <xf numFmtId="0" fontId="13" fillId="28" borderId="13" xfId="0" applyFont="1" applyFill="1" applyBorder="1" applyAlignment="1" applyProtection="1">
      <alignment horizontal="left"/>
      <protection/>
    </xf>
    <xf numFmtId="0" fontId="13" fillId="28" borderId="0" xfId="0" applyFont="1" applyFill="1" applyBorder="1" applyAlignment="1" applyProtection="1">
      <alignment horizontal="left"/>
      <protection/>
    </xf>
    <xf numFmtId="1" fontId="10" fillId="28" borderId="0" xfId="0" applyNumberFormat="1" applyFont="1" applyFill="1" applyBorder="1" applyAlignment="1" applyProtection="1">
      <alignment/>
      <protection/>
    </xf>
    <xf numFmtId="2" fontId="10" fillId="28" borderId="0" xfId="0" applyNumberFormat="1" applyFont="1" applyFill="1" applyBorder="1" applyAlignment="1" applyProtection="1">
      <alignment horizontal="center"/>
      <protection/>
    </xf>
    <xf numFmtId="189" fontId="10" fillId="28" borderId="14" xfId="0" applyNumberFormat="1" applyFont="1" applyFill="1" applyBorder="1" applyAlignment="1" applyProtection="1">
      <alignment horizontal="left"/>
      <protection/>
    </xf>
    <xf numFmtId="0" fontId="13" fillId="28" borderId="13" xfId="0" applyFont="1" applyFill="1" applyBorder="1" applyAlignment="1" applyProtection="1">
      <alignment horizontal="center"/>
      <protection/>
    </xf>
    <xf numFmtId="0" fontId="13" fillId="28" borderId="46" xfId="0" applyFont="1" applyFill="1" applyBorder="1" applyAlignment="1" applyProtection="1">
      <alignment horizontal="center"/>
      <protection/>
    </xf>
    <xf numFmtId="0" fontId="10" fillId="28" borderId="46" xfId="0" applyFont="1" applyFill="1" applyBorder="1" applyAlignment="1" applyProtection="1">
      <alignment horizontal="center"/>
      <protection/>
    </xf>
    <xf numFmtId="0" fontId="21" fillId="28" borderId="46" xfId="0" applyFont="1" applyFill="1" applyBorder="1" applyAlignment="1" applyProtection="1">
      <alignment horizontal="center"/>
      <protection/>
    </xf>
    <xf numFmtId="189" fontId="10" fillId="28" borderId="47" xfId="0" applyNumberFormat="1" applyFont="1" applyFill="1" applyBorder="1" applyAlignment="1" applyProtection="1">
      <alignment horizontal="left"/>
      <protection/>
    </xf>
    <xf numFmtId="188" fontId="21" fillId="28" borderId="0" xfId="0" applyNumberFormat="1" applyFont="1" applyFill="1" applyBorder="1" applyAlignment="1" applyProtection="1">
      <alignment/>
      <protection/>
    </xf>
    <xf numFmtId="188" fontId="13" fillId="28" borderId="0" xfId="0" applyNumberFormat="1" applyFont="1" applyFill="1" applyBorder="1" applyAlignment="1" applyProtection="1">
      <alignment/>
      <protection/>
    </xf>
    <xf numFmtId="188" fontId="30" fillId="28" borderId="0" xfId="0" applyNumberFormat="1" applyFont="1" applyFill="1" applyBorder="1" applyAlignment="1" applyProtection="1">
      <alignment horizontal="right"/>
      <protection/>
    </xf>
    <xf numFmtId="188" fontId="13" fillId="28" borderId="0" xfId="0" applyNumberFormat="1" applyFont="1" applyFill="1" applyBorder="1" applyAlignment="1" applyProtection="1">
      <alignment/>
      <protection/>
    </xf>
    <xf numFmtId="0" fontId="13" fillId="28" borderId="43" xfId="0" applyFont="1" applyFill="1" applyBorder="1" applyAlignment="1" applyProtection="1">
      <alignment horizontal="center"/>
      <protection/>
    </xf>
    <xf numFmtId="1" fontId="10" fillId="28" borderId="43" xfId="0" applyNumberFormat="1" applyFont="1" applyFill="1" applyBorder="1" applyAlignment="1" applyProtection="1">
      <alignment/>
      <protection/>
    </xf>
    <xf numFmtId="0" fontId="10" fillId="28" borderId="43" xfId="0" applyFont="1" applyFill="1" applyBorder="1" applyAlignment="1" applyProtection="1">
      <alignment horizontal="center"/>
      <protection/>
    </xf>
    <xf numFmtId="0" fontId="21" fillId="28" borderId="43" xfId="0" applyFont="1" applyFill="1" applyBorder="1" applyAlignment="1" applyProtection="1">
      <alignment horizontal="center"/>
      <protection/>
    </xf>
    <xf numFmtId="189" fontId="10" fillId="28" borderId="44" xfId="0" applyNumberFormat="1" applyFont="1" applyFill="1" applyBorder="1" applyAlignment="1" applyProtection="1">
      <alignment horizontal="left"/>
      <protection/>
    </xf>
    <xf numFmtId="188" fontId="21" fillId="28" borderId="43" xfId="0" applyNumberFormat="1" applyFont="1" applyFill="1" applyBorder="1" applyAlignment="1" applyProtection="1">
      <alignment/>
      <protection/>
    </xf>
    <xf numFmtId="188" fontId="10" fillId="28" borderId="0" xfId="0" applyNumberFormat="1" applyFont="1" applyFill="1" applyBorder="1" applyAlignment="1" applyProtection="1">
      <alignment/>
      <protection/>
    </xf>
    <xf numFmtId="188" fontId="30" fillId="28" borderId="48" xfId="0" applyNumberFormat="1" applyFont="1" applyFill="1" applyBorder="1" applyAlignment="1" applyProtection="1">
      <alignment horizontal="right"/>
      <protection/>
    </xf>
    <xf numFmtId="188" fontId="13" fillId="28" borderId="48" xfId="0" applyNumberFormat="1" applyFont="1" applyFill="1" applyBorder="1" applyAlignment="1" applyProtection="1">
      <alignment/>
      <protection/>
    </xf>
    <xf numFmtId="0" fontId="9" fillId="28" borderId="13" xfId="0" applyFont="1" applyFill="1" applyBorder="1" applyAlignment="1" applyProtection="1">
      <alignment/>
      <protection/>
    </xf>
    <xf numFmtId="0" fontId="9" fillId="28" borderId="43" xfId="0" applyFont="1" applyFill="1" applyBorder="1" applyAlignment="1" applyProtection="1">
      <alignment/>
      <protection/>
    </xf>
    <xf numFmtId="0" fontId="13" fillId="28" borderId="43" xfId="0" applyFont="1" applyFill="1" applyBorder="1" applyAlignment="1" applyProtection="1">
      <alignment horizontal="right"/>
      <protection/>
    </xf>
    <xf numFmtId="1" fontId="13" fillId="28" borderId="43" xfId="0" applyNumberFormat="1" applyFont="1" applyFill="1" applyBorder="1" applyAlignment="1" applyProtection="1">
      <alignment horizontal="center"/>
      <protection/>
    </xf>
    <xf numFmtId="1" fontId="13" fillId="28" borderId="43" xfId="0" applyNumberFormat="1" applyFont="1" applyFill="1" applyBorder="1" applyAlignment="1" applyProtection="1">
      <alignment horizontal="right"/>
      <protection/>
    </xf>
    <xf numFmtId="0" fontId="13" fillId="28" borderId="43" xfId="0" applyFont="1" applyFill="1" applyBorder="1" applyAlignment="1" applyProtection="1">
      <alignment/>
      <protection/>
    </xf>
    <xf numFmtId="0" fontId="10" fillId="28" borderId="43" xfId="0" applyFont="1" applyFill="1" applyBorder="1" applyAlignment="1" applyProtection="1">
      <alignment horizontal="left"/>
      <protection/>
    </xf>
    <xf numFmtId="2" fontId="13" fillId="28" borderId="43" xfId="0" applyNumberFormat="1" applyFont="1" applyFill="1" applyBorder="1" applyAlignment="1" applyProtection="1">
      <alignment horizontal="center"/>
      <protection/>
    </xf>
    <xf numFmtId="189" fontId="13" fillId="28" borderId="44" xfId="0" applyNumberFormat="1" applyFont="1" applyFill="1" applyBorder="1" applyAlignment="1" applyProtection="1">
      <alignment horizontal="left"/>
      <protection/>
    </xf>
    <xf numFmtId="1" fontId="10" fillId="28" borderId="36" xfId="0" applyNumberFormat="1" applyFont="1" applyFill="1" applyBorder="1" applyAlignment="1" applyProtection="1">
      <alignment/>
      <protection/>
    </xf>
    <xf numFmtId="0" fontId="22" fillId="28" borderId="36" xfId="0" applyFont="1" applyFill="1" applyBorder="1" applyAlignment="1" applyProtection="1">
      <alignment horizontal="center"/>
      <protection/>
    </xf>
    <xf numFmtId="0" fontId="30" fillId="28" borderId="36" xfId="0" applyFont="1" applyFill="1" applyBorder="1" applyAlignment="1" applyProtection="1">
      <alignment horizontal="right"/>
      <protection/>
    </xf>
    <xf numFmtId="0" fontId="10" fillId="28" borderId="36" xfId="0" applyFont="1" applyFill="1" applyBorder="1" applyAlignment="1" applyProtection="1">
      <alignment horizontal="left"/>
      <protection/>
    </xf>
    <xf numFmtId="184" fontId="13" fillId="28" borderId="39" xfId="0" applyNumberFormat="1" applyFont="1" applyFill="1" applyBorder="1" applyAlignment="1" applyProtection="1">
      <alignment horizontal="center"/>
      <protection/>
    </xf>
    <xf numFmtId="0" fontId="7" fillId="0" borderId="0" xfId="0" applyFont="1" applyAlignment="1" applyProtection="1">
      <alignment horizontal="left"/>
      <protection/>
    </xf>
    <xf numFmtId="0" fontId="0" fillId="0" borderId="0" xfId="0" applyAlignment="1" applyProtection="1">
      <alignment horizontal="left"/>
      <protection/>
    </xf>
    <xf numFmtId="1" fontId="10" fillId="7" borderId="15" xfId="0" applyNumberFormat="1" applyFont="1" applyFill="1" applyBorder="1" applyAlignment="1" applyProtection="1">
      <alignment horizontal="center"/>
      <protection locked="0"/>
    </xf>
    <xf numFmtId="1" fontId="13" fillId="7" borderId="15" xfId="0" applyNumberFormat="1" applyFont="1" applyFill="1" applyBorder="1" applyAlignment="1" applyProtection="1">
      <alignment horizontal="center"/>
      <protection locked="0"/>
    </xf>
    <xf numFmtId="189" fontId="10" fillId="7" borderId="15" xfId="0" applyNumberFormat="1" applyFont="1" applyFill="1" applyBorder="1" applyAlignment="1" applyProtection="1">
      <alignment horizontal="right"/>
      <protection locked="0"/>
    </xf>
    <xf numFmtId="2" fontId="10" fillId="7" borderId="15" xfId="0" applyNumberFormat="1" applyFont="1" applyFill="1" applyBorder="1" applyAlignment="1" applyProtection="1">
      <alignment horizontal="center"/>
      <protection locked="0"/>
    </xf>
    <xf numFmtId="9" fontId="13" fillId="7" borderId="15" xfId="0" applyNumberFormat="1" applyFont="1" applyFill="1" applyBorder="1" applyAlignment="1" applyProtection="1">
      <alignment horizontal="right"/>
      <protection locked="0"/>
    </xf>
    <xf numFmtId="9" fontId="10" fillId="7" borderId="17" xfId="0" applyNumberFormat="1" applyFont="1" applyFill="1" applyBorder="1" applyAlignment="1" applyProtection="1">
      <alignment/>
      <protection locked="0"/>
    </xf>
    <xf numFmtId="186" fontId="10" fillId="7" borderId="49" xfId="0" applyNumberFormat="1" applyFont="1" applyFill="1" applyBorder="1" applyAlignment="1" applyProtection="1">
      <alignment horizontal="center"/>
      <protection locked="0"/>
    </xf>
    <xf numFmtId="186" fontId="10" fillId="7" borderId="15" xfId="0" applyNumberFormat="1" applyFont="1" applyFill="1" applyBorder="1" applyAlignment="1" applyProtection="1">
      <alignment horizontal="center"/>
      <protection locked="0"/>
    </xf>
    <xf numFmtId="3" fontId="10" fillId="7" borderId="15" xfId="0" applyNumberFormat="1" applyFont="1" applyFill="1" applyBorder="1" applyAlignment="1" applyProtection="1">
      <alignment/>
      <protection locked="0"/>
    </xf>
    <xf numFmtId="188" fontId="21" fillId="7" borderId="15" xfId="0" applyNumberFormat="1" applyFont="1" applyFill="1" applyBorder="1" applyAlignment="1" applyProtection="1">
      <alignment horizontal="center"/>
      <protection locked="0"/>
    </xf>
    <xf numFmtId="1" fontId="10" fillId="7" borderId="15" xfId="0" applyNumberFormat="1" applyFont="1" applyFill="1" applyBorder="1" applyAlignment="1" applyProtection="1">
      <alignment/>
      <protection locked="0"/>
    </xf>
    <xf numFmtId="0" fontId="37" fillId="0" borderId="0" xfId="0" applyFont="1" applyAlignment="1" applyProtection="1">
      <alignment/>
      <protection/>
    </xf>
    <xf numFmtId="0" fontId="10" fillId="28" borderId="14" xfId="0" applyFont="1" applyFill="1" applyBorder="1" applyAlignment="1" applyProtection="1">
      <alignment/>
      <protection/>
    </xf>
    <xf numFmtId="0" fontId="10" fillId="28" borderId="13" xfId="0" applyFont="1" applyFill="1" applyBorder="1" applyAlignment="1" applyProtection="1">
      <alignment/>
      <protection/>
    </xf>
    <xf numFmtId="0" fontId="10" fillId="28" borderId="10" xfId="0" applyFont="1" applyFill="1" applyBorder="1" applyAlignment="1" applyProtection="1">
      <alignment/>
      <protection/>
    </xf>
    <xf numFmtId="0" fontId="10" fillId="28" borderId="11" xfId="0" applyFont="1" applyFill="1" applyBorder="1" applyAlignment="1" applyProtection="1">
      <alignment/>
      <protection/>
    </xf>
    <xf numFmtId="0" fontId="21" fillId="28" borderId="0" xfId="0" applyFont="1" applyFill="1" applyBorder="1" applyAlignment="1" applyProtection="1">
      <alignment/>
      <protection/>
    </xf>
    <xf numFmtId="0" fontId="21" fillId="28" borderId="0" xfId="0" applyFont="1" applyFill="1" applyBorder="1" applyAlignment="1" applyProtection="1">
      <alignment horizontal="right"/>
      <protection/>
    </xf>
    <xf numFmtId="185" fontId="10" fillId="28" borderId="14" xfId="0" applyNumberFormat="1" applyFont="1" applyFill="1" applyBorder="1" applyAlignment="1" applyProtection="1">
      <alignment horizontal="center"/>
      <protection/>
    </xf>
    <xf numFmtId="185" fontId="10" fillId="28" borderId="0" xfId="0" applyNumberFormat="1" applyFont="1" applyFill="1" applyBorder="1" applyAlignment="1" applyProtection="1">
      <alignment/>
      <protection/>
    </xf>
    <xf numFmtId="0" fontId="0" fillId="28" borderId="0" xfId="0" applyFill="1" applyBorder="1" applyAlignment="1" applyProtection="1">
      <alignment/>
      <protection/>
    </xf>
    <xf numFmtId="184" fontId="10" fillId="28" borderId="0" xfId="0" applyNumberFormat="1" applyFont="1" applyFill="1" applyBorder="1" applyAlignment="1" applyProtection="1">
      <alignment/>
      <protection/>
    </xf>
    <xf numFmtId="0" fontId="13" fillId="28" borderId="36" xfId="0" applyFont="1" applyFill="1" applyBorder="1" applyAlignment="1" applyProtection="1">
      <alignment/>
      <protection/>
    </xf>
    <xf numFmtId="185" fontId="13" fillId="28" borderId="36" xfId="0" applyNumberFormat="1" applyFont="1" applyFill="1" applyBorder="1" applyAlignment="1" applyProtection="1">
      <alignment/>
      <protection/>
    </xf>
    <xf numFmtId="185" fontId="10" fillId="7" borderId="15" xfId="0" applyNumberFormat="1" applyFont="1" applyFill="1" applyBorder="1" applyAlignment="1" applyProtection="1">
      <alignment/>
      <protection locked="0"/>
    </xf>
    <xf numFmtId="184" fontId="10" fillId="7" borderId="15" xfId="0" applyNumberFormat="1" applyFont="1" applyFill="1" applyBorder="1" applyAlignment="1" applyProtection="1">
      <alignment/>
      <protection/>
    </xf>
    <xf numFmtId="10" fontId="10" fillId="7" borderId="15" xfId="0" applyNumberFormat="1" applyFont="1" applyFill="1" applyBorder="1" applyAlignment="1" applyProtection="1">
      <alignment/>
      <protection locked="0"/>
    </xf>
    <xf numFmtId="185" fontId="10" fillId="28" borderId="12" xfId="0" applyNumberFormat="1" applyFont="1" applyFill="1" applyBorder="1" applyAlignment="1" applyProtection="1">
      <alignment horizontal="center"/>
      <protection/>
    </xf>
    <xf numFmtId="184" fontId="13" fillId="28" borderId="46" xfId="0" applyNumberFormat="1" applyFont="1" applyFill="1" applyBorder="1" applyAlignment="1" applyProtection="1">
      <alignment/>
      <protection/>
    </xf>
    <xf numFmtId="185" fontId="13" fillId="28" borderId="46" xfId="0" applyNumberFormat="1" applyFont="1" applyFill="1" applyBorder="1" applyAlignment="1" applyProtection="1">
      <alignment/>
      <protection/>
    </xf>
    <xf numFmtId="0" fontId="13" fillId="28" borderId="46" xfId="0" applyFont="1" applyFill="1" applyBorder="1" applyAlignment="1" applyProtection="1">
      <alignment/>
      <protection/>
    </xf>
    <xf numFmtId="185" fontId="13" fillId="28" borderId="47" xfId="0" applyNumberFormat="1" applyFont="1" applyFill="1" applyBorder="1" applyAlignment="1" applyProtection="1">
      <alignment horizontal="center"/>
      <protection/>
    </xf>
    <xf numFmtId="184" fontId="13" fillId="28" borderId="0" xfId="0" applyNumberFormat="1" applyFont="1" applyFill="1" applyBorder="1" applyAlignment="1" applyProtection="1">
      <alignment/>
      <protection/>
    </xf>
    <xf numFmtId="185" fontId="13" fillId="28" borderId="0" xfId="0" applyNumberFormat="1" applyFont="1" applyFill="1" applyBorder="1" applyAlignment="1" applyProtection="1">
      <alignment/>
      <protection/>
    </xf>
    <xf numFmtId="0" fontId="10" fillId="28" borderId="50" xfId="0" applyFont="1" applyFill="1" applyBorder="1" applyAlignment="1" applyProtection="1">
      <alignment/>
      <protection/>
    </xf>
    <xf numFmtId="0" fontId="10" fillId="28" borderId="46" xfId="0" applyFont="1" applyFill="1" applyBorder="1" applyAlignment="1" applyProtection="1">
      <alignment/>
      <protection/>
    </xf>
    <xf numFmtId="185" fontId="10" fillId="28" borderId="47" xfId="0" applyNumberFormat="1" applyFont="1" applyFill="1" applyBorder="1" applyAlignment="1" applyProtection="1">
      <alignment horizontal="center"/>
      <protection/>
    </xf>
    <xf numFmtId="10" fontId="13" fillId="28" borderId="0" xfId="0" applyNumberFormat="1" applyFont="1" applyFill="1" applyBorder="1" applyAlignment="1" applyProtection="1">
      <alignment horizontal="left"/>
      <protection/>
    </xf>
    <xf numFmtId="185" fontId="10" fillId="28" borderId="46" xfId="0" applyNumberFormat="1" applyFont="1" applyFill="1" applyBorder="1" applyAlignment="1" applyProtection="1">
      <alignment/>
      <protection/>
    </xf>
    <xf numFmtId="0" fontId="13" fillId="28" borderId="14" xfId="0" applyFont="1" applyFill="1" applyBorder="1" applyAlignment="1" applyProtection="1">
      <alignment horizontal="left"/>
      <protection/>
    </xf>
    <xf numFmtId="185" fontId="13" fillId="28" borderId="0" xfId="0" applyNumberFormat="1" applyFont="1" applyFill="1" applyBorder="1" applyAlignment="1" applyProtection="1">
      <alignment horizontal="center"/>
      <protection/>
    </xf>
    <xf numFmtId="0" fontId="0" fillId="28" borderId="35" xfId="0" applyFill="1" applyBorder="1" applyAlignment="1" applyProtection="1">
      <alignment/>
      <protection/>
    </xf>
    <xf numFmtId="185" fontId="10" fillId="28" borderId="36" xfId="0" applyNumberFormat="1" applyFont="1" applyFill="1" applyBorder="1" applyAlignment="1" applyProtection="1">
      <alignment/>
      <protection/>
    </xf>
    <xf numFmtId="185" fontId="10" fillId="28" borderId="36" xfId="0" applyNumberFormat="1" applyFont="1" applyFill="1" applyBorder="1" applyAlignment="1" applyProtection="1">
      <alignment horizontal="center"/>
      <protection/>
    </xf>
    <xf numFmtId="184" fontId="10" fillId="7" borderId="15" xfId="0" applyNumberFormat="1" applyFont="1" applyFill="1" applyBorder="1" applyAlignment="1" applyProtection="1">
      <alignment/>
      <protection locked="0"/>
    </xf>
    <xf numFmtId="0" fontId="10" fillId="7" borderId="15" xfId="0" applyFont="1" applyFill="1" applyBorder="1" applyAlignment="1" applyProtection="1">
      <alignment/>
      <protection locked="0"/>
    </xf>
    <xf numFmtId="185" fontId="10" fillId="7" borderId="15" xfId="0" applyNumberFormat="1" applyFont="1" applyFill="1" applyBorder="1" applyAlignment="1" applyProtection="1">
      <alignment horizontal="center"/>
      <protection locked="0"/>
    </xf>
    <xf numFmtId="0" fontId="10" fillId="7" borderId="15" xfId="0" applyFont="1" applyFill="1" applyBorder="1" applyAlignment="1" applyProtection="1">
      <alignment horizontal="right"/>
      <protection locked="0"/>
    </xf>
    <xf numFmtId="0" fontId="13" fillId="28" borderId="11" xfId="0" applyFont="1" applyFill="1" applyBorder="1" applyAlignment="1" applyProtection="1">
      <alignment/>
      <protection/>
    </xf>
    <xf numFmtId="184" fontId="10" fillId="28" borderId="11" xfId="0" applyNumberFormat="1" applyFont="1" applyFill="1" applyBorder="1" applyAlignment="1" applyProtection="1">
      <alignment horizontal="center"/>
      <protection/>
    </xf>
    <xf numFmtId="184" fontId="10" fillId="28" borderId="0" xfId="0" applyNumberFormat="1" applyFont="1" applyFill="1" applyBorder="1" applyAlignment="1" applyProtection="1">
      <alignment horizontal="center"/>
      <protection/>
    </xf>
    <xf numFmtId="1" fontId="10" fillId="28" borderId="36" xfId="0" applyNumberFormat="1" applyFont="1" applyFill="1" applyBorder="1" applyAlignment="1" applyProtection="1">
      <alignment horizontal="right"/>
      <protection/>
    </xf>
    <xf numFmtId="184" fontId="10" fillId="28" borderId="36" xfId="0" applyNumberFormat="1" applyFont="1" applyFill="1" applyBorder="1" applyAlignment="1" applyProtection="1">
      <alignment horizontal="center"/>
      <protection/>
    </xf>
    <xf numFmtId="0" fontId="10" fillId="28" borderId="39" xfId="0" applyFont="1" applyFill="1" applyBorder="1" applyAlignment="1" applyProtection="1">
      <alignment horizontal="center"/>
      <protection/>
    </xf>
    <xf numFmtId="2" fontId="10" fillId="7" borderId="17" xfId="0" applyNumberFormat="1" applyFont="1" applyFill="1" applyBorder="1" applyAlignment="1" applyProtection="1">
      <alignment/>
      <protection locked="0"/>
    </xf>
    <xf numFmtId="0" fontId="10" fillId="28" borderId="51" xfId="0" applyFont="1" applyFill="1" applyBorder="1" applyAlignment="1" applyProtection="1">
      <alignment/>
      <protection/>
    </xf>
    <xf numFmtId="0" fontId="10" fillId="28" borderId="51" xfId="0" applyFont="1" applyFill="1" applyBorder="1" applyAlignment="1" applyProtection="1">
      <alignment horizontal="right"/>
      <protection/>
    </xf>
    <xf numFmtId="184" fontId="10" fillId="28" borderId="51" xfId="0" applyNumberFormat="1" applyFont="1" applyFill="1" applyBorder="1" applyAlignment="1" applyProtection="1">
      <alignment horizontal="center"/>
      <protection/>
    </xf>
    <xf numFmtId="0" fontId="10" fillId="28" borderId="43" xfId="0" applyFont="1" applyFill="1" applyBorder="1" applyAlignment="1" applyProtection="1">
      <alignment/>
      <protection/>
    </xf>
    <xf numFmtId="184" fontId="10" fillId="28" borderId="43" xfId="0" applyNumberFormat="1" applyFont="1" applyFill="1" applyBorder="1" applyAlignment="1" applyProtection="1">
      <alignment horizontal="center"/>
      <protection/>
    </xf>
    <xf numFmtId="0" fontId="10" fillId="28" borderId="52" xfId="0" applyFont="1" applyFill="1" applyBorder="1" applyAlignment="1" applyProtection="1">
      <alignment/>
      <protection/>
    </xf>
    <xf numFmtId="170" fontId="10" fillId="28" borderId="13" xfId="44" applyFont="1" applyFill="1" applyBorder="1" applyAlignment="1" applyProtection="1">
      <alignment horizontal="left"/>
      <protection/>
    </xf>
    <xf numFmtId="0" fontId="10" fillId="28" borderId="13" xfId="0" applyFont="1" applyFill="1" applyBorder="1" applyAlignment="1" applyProtection="1">
      <alignment horizontal="left"/>
      <protection/>
    </xf>
    <xf numFmtId="0" fontId="10" fillId="28" borderId="53" xfId="0" applyFont="1" applyFill="1" applyBorder="1" applyAlignment="1" applyProtection="1">
      <alignment/>
      <protection/>
    </xf>
    <xf numFmtId="187" fontId="10" fillId="28" borderId="0" xfId="0" applyNumberFormat="1" applyFont="1" applyFill="1" applyBorder="1" applyAlignment="1" applyProtection="1">
      <alignment/>
      <protection/>
    </xf>
    <xf numFmtId="186" fontId="13" fillId="28" borderId="0" xfId="0" applyNumberFormat="1" applyFont="1" applyFill="1" applyBorder="1" applyAlignment="1" applyProtection="1">
      <alignment/>
      <protection/>
    </xf>
    <xf numFmtId="184" fontId="10" fillId="7" borderId="16" xfId="0" applyNumberFormat="1" applyFont="1" applyFill="1" applyBorder="1" applyAlignment="1" applyProtection="1">
      <alignment horizontal="center"/>
      <protection locked="0"/>
    </xf>
    <xf numFmtId="187" fontId="10" fillId="7" borderId="15" xfId="0" applyNumberFormat="1" applyFont="1" applyFill="1" applyBorder="1" applyAlignment="1" applyProtection="1">
      <alignment/>
      <protection locked="0"/>
    </xf>
    <xf numFmtId="186" fontId="10" fillId="7" borderId="15" xfId="0" applyNumberFormat="1" applyFont="1" applyFill="1" applyBorder="1" applyAlignment="1" applyProtection="1">
      <alignment/>
      <protection locked="0"/>
    </xf>
    <xf numFmtId="0" fontId="11" fillId="28" borderId="11" xfId="0" applyFont="1" applyFill="1" applyBorder="1" applyAlignment="1" applyProtection="1">
      <alignment horizontal="left"/>
      <protection/>
    </xf>
    <xf numFmtId="0" fontId="11" fillId="28" borderId="12" xfId="0" applyFont="1" applyFill="1" applyBorder="1" applyAlignment="1" applyProtection="1">
      <alignment horizontal="center"/>
      <protection/>
    </xf>
    <xf numFmtId="0" fontId="11" fillId="28" borderId="43" xfId="0" applyFont="1" applyFill="1" applyBorder="1" applyAlignment="1" applyProtection="1">
      <alignment horizontal="left"/>
      <protection/>
    </xf>
    <xf numFmtId="0" fontId="11" fillId="28" borderId="44" xfId="0" applyFont="1" applyFill="1" applyBorder="1" applyAlignment="1" applyProtection="1">
      <alignment horizontal="center"/>
      <protection/>
    </xf>
    <xf numFmtId="185" fontId="10" fillId="28" borderId="43" xfId="0" applyNumberFormat="1" applyFont="1" applyFill="1" applyBorder="1" applyAlignment="1" applyProtection="1">
      <alignment/>
      <protection/>
    </xf>
    <xf numFmtId="185" fontId="10" fillId="28" borderId="44" xfId="0" applyNumberFormat="1" applyFont="1" applyFill="1" applyBorder="1" applyAlignment="1" applyProtection="1">
      <alignment horizontal="center"/>
      <protection/>
    </xf>
    <xf numFmtId="0" fontId="10" fillId="28" borderId="0" xfId="0" applyFont="1" applyFill="1" applyBorder="1" applyAlignment="1" applyProtection="1">
      <alignment/>
      <protection locked="0"/>
    </xf>
    <xf numFmtId="185" fontId="10" fillId="28" borderId="0" xfId="0" applyNumberFormat="1" applyFont="1" applyFill="1" applyBorder="1" applyAlignment="1" applyProtection="1">
      <alignment horizontal="right"/>
      <protection/>
    </xf>
    <xf numFmtId="0" fontId="13" fillId="28" borderId="54" xfId="0" applyFont="1" applyFill="1" applyBorder="1" applyAlignment="1" applyProtection="1">
      <alignment/>
      <protection/>
    </xf>
    <xf numFmtId="185" fontId="10" fillId="28" borderId="55" xfId="0" applyNumberFormat="1" applyFont="1" applyFill="1" applyBorder="1" applyAlignment="1" applyProtection="1">
      <alignment/>
      <protection/>
    </xf>
    <xf numFmtId="0" fontId="10" fillId="28" borderId="55" xfId="0" applyFont="1" applyFill="1" applyBorder="1" applyAlignment="1" applyProtection="1">
      <alignment/>
      <protection/>
    </xf>
    <xf numFmtId="0" fontId="13" fillId="28" borderId="55" xfId="0" applyFont="1" applyFill="1" applyBorder="1" applyAlignment="1" applyProtection="1">
      <alignment/>
      <protection/>
    </xf>
    <xf numFmtId="0" fontId="13" fillId="28" borderId="55" xfId="0" applyFont="1" applyFill="1" applyBorder="1" applyAlignment="1" applyProtection="1">
      <alignment horizontal="center"/>
      <protection/>
    </xf>
    <xf numFmtId="185" fontId="13" fillId="28" borderId="56" xfId="0" applyNumberFormat="1" applyFont="1" applyFill="1" applyBorder="1" applyAlignment="1" applyProtection="1">
      <alignment horizontal="center"/>
      <protection/>
    </xf>
    <xf numFmtId="185" fontId="13" fillId="28" borderId="44" xfId="0" applyNumberFormat="1" applyFont="1" applyFill="1" applyBorder="1" applyAlignment="1" applyProtection="1">
      <alignment horizontal="center"/>
      <protection/>
    </xf>
    <xf numFmtId="184" fontId="10" fillId="28" borderId="39" xfId="0" applyNumberFormat="1" applyFont="1" applyFill="1" applyBorder="1" applyAlignment="1" applyProtection="1">
      <alignment horizontal="center"/>
      <protection/>
    </xf>
    <xf numFmtId="10" fontId="10" fillId="7" borderId="15" xfId="0" applyNumberFormat="1" applyFont="1" applyFill="1" applyBorder="1" applyAlignment="1" applyProtection="1">
      <alignment horizontal="center"/>
      <protection locked="0"/>
    </xf>
    <xf numFmtId="0" fontId="36" fillId="0" borderId="0" xfId="0" applyFont="1" applyBorder="1" applyAlignment="1" applyProtection="1">
      <alignment/>
      <protection/>
    </xf>
    <xf numFmtId="0" fontId="39" fillId="0" borderId="0" xfId="0" applyFont="1" applyAlignment="1" applyProtection="1">
      <alignment/>
      <protection/>
    </xf>
    <xf numFmtId="0" fontId="38" fillId="0" borderId="0" xfId="0" applyFont="1" applyAlignment="1" applyProtection="1">
      <alignment/>
      <protection/>
    </xf>
    <xf numFmtId="184" fontId="38" fillId="0" borderId="0" xfId="0" applyNumberFormat="1" applyFont="1" applyBorder="1" applyAlignment="1" applyProtection="1">
      <alignment horizontal="center"/>
      <protection/>
    </xf>
    <xf numFmtId="0" fontId="36" fillId="0" borderId="0" xfId="0" applyFont="1" applyAlignment="1" applyProtection="1">
      <alignment/>
      <protection/>
    </xf>
    <xf numFmtId="20" fontId="36" fillId="0" borderId="0" xfId="0" applyNumberFormat="1" applyFont="1" applyAlignment="1" applyProtection="1">
      <alignment/>
      <protection/>
    </xf>
    <xf numFmtId="0" fontId="45" fillId="0" borderId="0" xfId="0" applyFont="1" applyBorder="1" applyAlignment="1" applyProtection="1">
      <alignment/>
      <protection/>
    </xf>
    <xf numFmtId="10" fontId="10" fillId="28" borderId="0" xfId="0" applyNumberFormat="1" applyFont="1" applyFill="1" applyBorder="1" applyAlignment="1" applyProtection="1">
      <alignment horizontal="center"/>
      <protection/>
    </xf>
    <xf numFmtId="3" fontId="10" fillId="28" borderId="0" xfId="0" applyNumberFormat="1" applyFont="1" applyFill="1" applyBorder="1" applyAlignment="1" applyProtection="1">
      <alignment horizontal="right"/>
      <protection/>
    </xf>
    <xf numFmtId="0" fontId="11" fillId="28" borderId="13" xfId="0" applyFont="1" applyFill="1" applyBorder="1" applyAlignment="1" applyProtection="1">
      <alignment horizontal="left"/>
      <protection/>
    </xf>
    <xf numFmtId="186" fontId="10" fillId="28" borderId="0" xfId="0" applyNumberFormat="1" applyFont="1" applyFill="1" applyBorder="1" applyAlignment="1" applyProtection="1">
      <alignment/>
      <protection/>
    </xf>
    <xf numFmtId="10" fontId="10" fillId="28" borderId="0" xfId="0" applyNumberFormat="1" applyFont="1" applyFill="1" applyBorder="1" applyAlignment="1" applyProtection="1">
      <alignment/>
      <protection/>
    </xf>
    <xf numFmtId="10" fontId="13" fillId="28" borderId="0" xfId="0" applyNumberFormat="1" applyFont="1" applyFill="1" applyBorder="1" applyAlignment="1" applyProtection="1">
      <alignment/>
      <protection/>
    </xf>
    <xf numFmtId="185" fontId="10" fillId="28" borderId="0" xfId="0" applyNumberFormat="1" applyFont="1" applyFill="1" applyBorder="1" applyAlignment="1" applyProtection="1">
      <alignment horizontal="center"/>
      <protection/>
    </xf>
    <xf numFmtId="185" fontId="13" fillId="28" borderId="43" xfId="0" applyNumberFormat="1" applyFont="1" applyFill="1" applyBorder="1" applyAlignment="1" applyProtection="1">
      <alignment horizontal="center"/>
      <protection/>
    </xf>
    <xf numFmtId="185" fontId="10" fillId="28" borderId="24" xfId="0" applyNumberFormat="1" applyFont="1" applyFill="1" applyBorder="1" applyAlignment="1" applyProtection="1">
      <alignment/>
      <protection/>
    </xf>
    <xf numFmtId="0" fontId="10" fillId="28" borderId="48" xfId="0" applyFont="1" applyFill="1" applyBorder="1" applyAlignment="1" applyProtection="1">
      <alignment/>
      <protection/>
    </xf>
    <xf numFmtId="0" fontId="12" fillId="28" borderId="0" xfId="0" applyFont="1" applyFill="1" applyBorder="1" applyAlignment="1" applyProtection="1">
      <alignment/>
      <protection/>
    </xf>
    <xf numFmtId="0" fontId="13" fillId="28" borderId="36" xfId="0" applyFont="1" applyFill="1" applyBorder="1" applyAlignment="1" applyProtection="1">
      <alignment horizontal="center"/>
      <protection/>
    </xf>
    <xf numFmtId="185" fontId="10" fillId="7" borderId="0" xfId="0" applyNumberFormat="1" applyFont="1" applyFill="1" applyBorder="1" applyAlignment="1" applyProtection="1">
      <alignment/>
      <protection/>
    </xf>
    <xf numFmtId="0" fontId="21" fillId="28" borderId="10" xfId="0" applyFont="1" applyFill="1" applyBorder="1" applyAlignment="1" applyProtection="1">
      <alignment/>
      <protection/>
    </xf>
    <xf numFmtId="0" fontId="21" fillId="28" borderId="11" xfId="0" applyFont="1" applyFill="1" applyBorder="1" applyAlignment="1" applyProtection="1">
      <alignment/>
      <protection/>
    </xf>
    <xf numFmtId="1" fontId="22" fillId="28" borderId="11" xfId="0" applyNumberFormat="1" applyFont="1" applyFill="1" applyBorder="1" applyAlignment="1" applyProtection="1">
      <alignment horizontal="center"/>
      <protection/>
    </xf>
    <xf numFmtId="0" fontId="22" fillId="28" borderId="11" xfId="0" applyFont="1" applyFill="1" applyBorder="1" applyAlignment="1" applyProtection="1">
      <alignment horizontal="center"/>
      <protection/>
    </xf>
    <xf numFmtId="0" fontId="21" fillId="28" borderId="12" xfId="0" applyFont="1" applyFill="1" applyBorder="1" applyAlignment="1" applyProtection="1">
      <alignment horizontal="center"/>
      <protection/>
    </xf>
    <xf numFmtId="1" fontId="9" fillId="28" borderId="0" xfId="0" applyNumberFormat="1" applyFont="1" applyFill="1" applyBorder="1" applyAlignment="1" applyProtection="1">
      <alignment horizontal="center"/>
      <protection/>
    </xf>
    <xf numFmtId="3" fontId="13" fillId="28" borderId="0" xfId="0" applyNumberFormat="1" applyFont="1" applyFill="1" applyBorder="1" applyAlignment="1" applyProtection="1">
      <alignment horizontal="center"/>
      <protection/>
    </xf>
    <xf numFmtId="2" fontId="13" fillId="28" borderId="0" xfId="0" applyNumberFormat="1" applyFont="1" applyFill="1" applyBorder="1" applyAlignment="1" applyProtection="1">
      <alignment/>
      <protection/>
    </xf>
    <xf numFmtId="0" fontId="13" fillId="28" borderId="14" xfId="0" applyFont="1" applyFill="1" applyBorder="1" applyAlignment="1" applyProtection="1">
      <alignment horizontal="center"/>
      <protection/>
    </xf>
    <xf numFmtId="0" fontId="13" fillId="28" borderId="42" xfId="0" applyFont="1" applyFill="1" applyBorder="1" applyAlignment="1" applyProtection="1">
      <alignment/>
      <protection/>
    </xf>
    <xf numFmtId="1" fontId="9" fillId="28" borderId="43" xfId="0" applyNumberFormat="1" applyFont="1" applyFill="1" applyBorder="1" applyAlignment="1" applyProtection="1">
      <alignment horizontal="center"/>
      <protection/>
    </xf>
    <xf numFmtId="3" fontId="13" fillId="28" borderId="43" xfId="0" applyNumberFormat="1" applyFont="1" applyFill="1" applyBorder="1" applyAlignment="1" applyProtection="1">
      <alignment horizontal="center"/>
      <protection/>
    </xf>
    <xf numFmtId="2" fontId="13" fillId="28" borderId="43" xfId="0" applyNumberFormat="1" applyFont="1" applyFill="1" applyBorder="1" applyAlignment="1" applyProtection="1">
      <alignment/>
      <protection/>
    </xf>
    <xf numFmtId="0" fontId="13" fillId="28" borderId="44" xfId="0" applyFont="1" applyFill="1" applyBorder="1" applyAlignment="1" applyProtection="1">
      <alignment horizontal="center"/>
      <protection/>
    </xf>
    <xf numFmtId="20" fontId="10" fillId="28" borderId="0" xfId="0" applyNumberFormat="1" applyFont="1" applyFill="1" applyBorder="1" applyAlignment="1" applyProtection="1">
      <alignment/>
      <protection/>
    </xf>
    <xf numFmtId="9" fontId="10" fillId="28" borderId="0" xfId="0" applyNumberFormat="1" applyFont="1" applyFill="1" applyBorder="1" applyAlignment="1" applyProtection="1">
      <alignment/>
      <protection/>
    </xf>
    <xf numFmtId="9" fontId="10" fillId="7" borderId="15" xfId="0" applyNumberFormat="1" applyFont="1" applyFill="1" applyBorder="1" applyAlignment="1" applyProtection="1">
      <alignment/>
      <protection locked="0"/>
    </xf>
    <xf numFmtId="184" fontId="13" fillId="28" borderId="44" xfId="0" applyNumberFormat="1" applyFont="1" applyFill="1" applyBorder="1" applyAlignment="1" applyProtection="1">
      <alignment horizontal="center"/>
      <protection/>
    </xf>
    <xf numFmtId="0" fontId="19" fillId="28" borderId="14" xfId="0" applyFont="1" applyFill="1" applyBorder="1" applyAlignment="1" applyProtection="1">
      <alignment horizontal="center"/>
      <protection/>
    </xf>
    <xf numFmtId="0" fontId="22" fillId="28" borderId="0" xfId="0" applyFont="1" applyFill="1" applyBorder="1" applyAlignment="1" applyProtection="1">
      <alignment horizontal="right"/>
      <protection/>
    </xf>
    <xf numFmtId="1" fontId="10" fillId="28" borderId="48" xfId="0" applyNumberFormat="1" applyFont="1" applyFill="1" applyBorder="1" applyAlignment="1" applyProtection="1">
      <alignment/>
      <protection/>
    </xf>
    <xf numFmtId="190" fontId="22" fillId="28" borderId="0" xfId="0" applyNumberFormat="1" applyFont="1" applyFill="1" applyBorder="1" applyAlignment="1" applyProtection="1">
      <alignment/>
      <protection/>
    </xf>
    <xf numFmtId="0" fontId="22" fillId="28" borderId="0" xfId="0" applyFont="1" applyFill="1" applyBorder="1" applyAlignment="1" applyProtection="1">
      <alignment/>
      <protection/>
    </xf>
    <xf numFmtId="184" fontId="10" fillId="28" borderId="43" xfId="0" applyNumberFormat="1" applyFont="1" applyFill="1" applyBorder="1" applyAlignment="1" applyProtection="1">
      <alignment/>
      <protection/>
    </xf>
    <xf numFmtId="0" fontId="22" fillId="28" borderId="43" xfId="0" applyFont="1" applyFill="1" applyBorder="1" applyAlignment="1" applyProtection="1">
      <alignment horizontal="right"/>
      <protection/>
    </xf>
    <xf numFmtId="184" fontId="13" fillId="28" borderId="43" xfId="0" applyNumberFormat="1" applyFont="1" applyFill="1" applyBorder="1" applyAlignment="1" applyProtection="1">
      <alignment/>
      <protection/>
    </xf>
    <xf numFmtId="0" fontId="13" fillId="28" borderId="48" xfId="0" applyFont="1" applyFill="1" applyBorder="1" applyAlignment="1" applyProtection="1">
      <alignment horizontal="left"/>
      <protection/>
    </xf>
    <xf numFmtId="184" fontId="13" fillId="28" borderId="48" xfId="0" applyNumberFormat="1" applyFont="1" applyFill="1" applyBorder="1" applyAlignment="1" applyProtection="1">
      <alignment/>
      <protection/>
    </xf>
    <xf numFmtId="0" fontId="9" fillId="28" borderId="0" xfId="0" applyFont="1" applyFill="1" applyBorder="1" applyAlignment="1" applyProtection="1">
      <alignment/>
      <protection/>
    </xf>
    <xf numFmtId="0" fontId="13" fillId="28" borderId="48" xfId="0" applyFont="1" applyFill="1" applyBorder="1" applyAlignment="1" applyProtection="1">
      <alignment/>
      <protection/>
    </xf>
    <xf numFmtId="0" fontId="9" fillId="28" borderId="48" xfId="0" applyFont="1" applyFill="1" applyBorder="1" applyAlignment="1" applyProtection="1">
      <alignment/>
      <protection/>
    </xf>
    <xf numFmtId="184" fontId="13" fillId="28" borderId="45" xfId="0" applyNumberFormat="1" applyFont="1" applyFill="1" applyBorder="1" applyAlignment="1" applyProtection="1">
      <alignment horizontal="center"/>
      <protection/>
    </xf>
    <xf numFmtId="1" fontId="13" fillId="28" borderId="10" xfId="0" applyNumberFormat="1" applyFont="1" applyFill="1" applyBorder="1" applyAlignment="1" applyProtection="1">
      <alignment/>
      <protection/>
    </xf>
    <xf numFmtId="1" fontId="10" fillId="28" borderId="11" xfId="0" applyNumberFormat="1" applyFont="1" applyFill="1" applyBorder="1" applyAlignment="1" applyProtection="1">
      <alignment horizontal="left"/>
      <protection/>
    </xf>
    <xf numFmtId="1" fontId="10" fillId="28" borderId="11" xfId="0" applyNumberFormat="1" applyFont="1" applyFill="1" applyBorder="1" applyAlignment="1" applyProtection="1">
      <alignment/>
      <protection/>
    </xf>
    <xf numFmtId="184" fontId="10" fillId="28" borderId="11" xfId="0" applyNumberFormat="1" applyFont="1" applyFill="1" applyBorder="1" applyAlignment="1" applyProtection="1">
      <alignment/>
      <protection/>
    </xf>
    <xf numFmtId="0" fontId="10" fillId="28" borderId="12" xfId="0" applyFont="1" applyFill="1" applyBorder="1" applyAlignment="1" applyProtection="1">
      <alignment/>
      <protection/>
    </xf>
    <xf numFmtId="1" fontId="13" fillId="28" borderId="13" xfId="0" applyNumberFormat="1" applyFont="1" applyFill="1" applyBorder="1" applyAlignment="1" applyProtection="1">
      <alignment/>
      <protection/>
    </xf>
    <xf numFmtId="0" fontId="0" fillId="28" borderId="43" xfId="0" applyFill="1" applyBorder="1" applyAlignment="1" applyProtection="1">
      <alignment/>
      <protection/>
    </xf>
    <xf numFmtId="0" fontId="10" fillId="28" borderId="44" xfId="0" applyFont="1" applyFill="1" applyBorder="1" applyAlignment="1" applyProtection="1">
      <alignment/>
      <protection/>
    </xf>
    <xf numFmtId="1" fontId="13" fillId="28" borderId="0" xfId="0" applyNumberFormat="1" applyFont="1" applyFill="1" applyBorder="1" applyAlignment="1" applyProtection="1">
      <alignment horizontal="right"/>
      <protection/>
    </xf>
    <xf numFmtId="1" fontId="13" fillId="28" borderId="35" xfId="0" applyNumberFormat="1" applyFont="1" applyFill="1" applyBorder="1" applyAlignment="1" applyProtection="1">
      <alignment/>
      <protection/>
    </xf>
    <xf numFmtId="0" fontId="0" fillId="28" borderId="36" xfId="0" applyFill="1" applyBorder="1" applyAlignment="1" applyProtection="1">
      <alignment/>
      <protection/>
    </xf>
    <xf numFmtId="184" fontId="13" fillId="28" borderId="36" xfId="0" applyNumberFormat="1" applyFont="1" applyFill="1" applyBorder="1" applyAlignment="1" applyProtection="1">
      <alignment/>
      <protection/>
    </xf>
    <xf numFmtId="0" fontId="10" fillId="28" borderId="39" xfId="0" applyFont="1" applyFill="1" applyBorder="1" applyAlignment="1" applyProtection="1">
      <alignment/>
      <protection/>
    </xf>
    <xf numFmtId="184" fontId="10" fillId="7" borderId="15" xfId="0" applyNumberFormat="1" applyFont="1" applyFill="1" applyBorder="1" applyAlignment="1" applyProtection="1">
      <alignment horizontal="center"/>
      <protection locked="0"/>
    </xf>
    <xf numFmtId="1" fontId="13" fillId="28" borderId="57" xfId="0" applyNumberFormat="1" applyFont="1" applyFill="1" applyBorder="1" applyAlignment="1" applyProtection="1">
      <alignment/>
      <protection/>
    </xf>
    <xf numFmtId="3" fontId="10" fillId="28" borderId="46" xfId="0" applyNumberFormat="1" applyFont="1" applyFill="1" applyBorder="1" applyAlignment="1" applyProtection="1">
      <alignment horizontal="center"/>
      <protection/>
    </xf>
    <xf numFmtId="184" fontId="10" fillId="28" borderId="46" xfId="0" applyNumberFormat="1" applyFont="1" applyFill="1" applyBorder="1" applyAlignment="1" applyProtection="1">
      <alignment/>
      <protection/>
    </xf>
    <xf numFmtId="186" fontId="10" fillId="28" borderId="0" xfId="0" applyNumberFormat="1" applyFont="1" applyFill="1" applyBorder="1" applyAlignment="1" applyProtection="1">
      <alignment horizontal="center"/>
      <protection/>
    </xf>
    <xf numFmtId="9" fontId="10" fillId="28" borderId="0" xfId="0" applyNumberFormat="1" applyFont="1" applyFill="1" applyBorder="1" applyAlignment="1" applyProtection="1">
      <alignment horizontal="center"/>
      <protection/>
    </xf>
    <xf numFmtId="1" fontId="13" fillId="28" borderId="49" xfId="0" applyNumberFormat="1" applyFont="1" applyFill="1" applyBorder="1" applyAlignment="1" applyProtection="1">
      <alignment horizontal="right"/>
      <protection/>
    </xf>
    <xf numFmtId="9" fontId="10" fillId="28" borderId="43" xfId="0" applyNumberFormat="1" applyFont="1" applyFill="1" applyBorder="1" applyAlignment="1" applyProtection="1">
      <alignment horizontal="center"/>
      <protection/>
    </xf>
    <xf numFmtId="1" fontId="13" fillId="28" borderId="13" xfId="0" applyNumberFormat="1" applyFont="1" applyFill="1" applyBorder="1" applyAlignment="1" applyProtection="1">
      <alignment horizontal="right"/>
      <protection/>
    </xf>
    <xf numFmtId="9" fontId="10" fillId="7" borderId="15" xfId="0" applyNumberFormat="1" applyFont="1" applyFill="1" applyBorder="1" applyAlignment="1" applyProtection="1">
      <alignment horizontal="center"/>
      <protection locked="0"/>
    </xf>
    <xf numFmtId="1" fontId="39" fillId="0" borderId="0" xfId="0" applyNumberFormat="1" applyFont="1" applyFill="1" applyAlignment="1" applyProtection="1">
      <alignment/>
      <protection/>
    </xf>
    <xf numFmtId="0" fontId="36" fillId="0" borderId="0" xfId="0" applyFont="1" applyFill="1" applyAlignment="1" applyProtection="1">
      <alignment/>
      <protection/>
    </xf>
    <xf numFmtId="1" fontId="36" fillId="0" borderId="0" xfId="0" applyNumberFormat="1" applyFont="1" applyFill="1" applyAlignment="1" applyProtection="1">
      <alignment/>
      <protection/>
    </xf>
    <xf numFmtId="1" fontId="39" fillId="0" borderId="0" xfId="0" applyNumberFormat="1" applyFont="1" applyFill="1" applyAlignment="1" applyProtection="1">
      <alignment horizontal="left"/>
      <protection/>
    </xf>
    <xf numFmtId="0" fontId="36" fillId="0" borderId="0" xfId="0" applyFont="1" applyFill="1" applyAlignment="1" applyProtection="1">
      <alignment horizontal="left"/>
      <protection/>
    </xf>
    <xf numFmtId="176" fontId="36" fillId="0" borderId="0" xfId="0" applyNumberFormat="1" applyFont="1" applyFill="1" applyAlignment="1" applyProtection="1">
      <alignment/>
      <protection/>
    </xf>
    <xf numFmtId="1" fontId="36" fillId="0" borderId="0" xfId="0" applyNumberFormat="1" applyFont="1" applyFill="1" applyAlignment="1" applyProtection="1">
      <alignment horizontal="left"/>
      <protection/>
    </xf>
    <xf numFmtId="178" fontId="13" fillId="28" borderId="0" xfId="0" applyNumberFormat="1" applyFont="1" applyFill="1" applyBorder="1" applyAlignment="1" applyProtection="1">
      <alignment horizontal="center"/>
      <protection/>
    </xf>
    <xf numFmtId="37" fontId="13" fillId="28" borderId="43" xfId="0" applyNumberFormat="1" applyFont="1" applyFill="1" applyBorder="1" applyAlignment="1" applyProtection="1">
      <alignment horizontal="center"/>
      <protection/>
    </xf>
    <xf numFmtId="37" fontId="10" fillId="28" borderId="0" xfId="0" applyNumberFormat="1" applyFont="1" applyFill="1" applyBorder="1" applyAlignment="1" applyProtection="1">
      <alignment horizontal="center"/>
      <protection/>
    </xf>
    <xf numFmtId="37" fontId="10" fillId="28" borderId="53" xfId="0" applyNumberFormat="1" applyFont="1" applyFill="1" applyBorder="1" applyAlignment="1" applyProtection="1">
      <alignment horizontal="center"/>
      <protection/>
    </xf>
    <xf numFmtId="37" fontId="10" fillId="28" borderId="43" xfId="0" applyNumberFormat="1" applyFont="1" applyFill="1" applyBorder="1" applyAlignment="1" applyProtection="1">
      <alignment horizontal="center"/>
      <protection/>
    </xf>
    <xf numFmtId="182" fontId="13" fillId="28" borderId="0" xfId="0" applyNumberFormat="1" applyFont="1" applyFill="1" applyBorder="1" applyAlignment="1" applyProtection="1">
      <alignment horizontal="center"/>
      <protection/>
    </xf>
    <xf numFmtId="37" fontId="13" fillId="28" borderId="0" xfId="0" applyNumberFormat="1" applyFont="1" applyFill="1" applyBorder="1" applyAlignment="1" applyProtection="1">
      <alignment horizontal="right"/>
      <protection/>
    </xf>
    <xf numFmtId="37" fontId="13" fillId="28" borderId="0" xfId="0" applyNumberFormat="1" applyFont="1" applyFill="1" applyBorder="1" applyAlignment="1" applyProtection="1">
      <alignment horizontal="center"/>
      <protection/>
    </xf>
    <xf numFmtId="184" fontId="13" fillId="28" borderId="0" xfId="0" applyNumberFormat="1" applyFont="1" applyFill="1" applyBorder="1" applyAlignment="1" applyProtection="1">
      <alignment horizontal="center"/>
      <protection/>
    </xf>
    <xf numFmtId="182" fontId="10" fillId="7" borderId="15" xfId="0" applyNumberFormat="1" applyFont="1" applyFill="1" applyBorder="1" applyAlignment="1" applyProtection="1">
      <alignment horizontal="center"/>
      <protection locked="0"/>
    </xf>
    <xf numFmtId="1" fontId="13" fillId="28" borderId="10" xfId="0" applyNumberFormat="1" applyFont="1" applyFill="1" applyBorder="1" applyAlignment="1" applyProtection="1">
      <alignment horizontal="left"/>
      <protection/>
    </xf>
    <xf numFmtId="178" fontId="13" fillId="28" borderId="11" xfId="0" applyNumberFormat="1" applyFont="1" applyFill="1" applyBorder="1" applyAlignment="1" applyProtection="1">
      <alignment horizontal="center"/>
      <protection/>
    </xf>
    <xf numFmtId="37" fontId="13" fillId="28" borderId="51" xfId="0" applyNumberFormat="1" applyFont="1" applyFill="1" applyBorder="1" applyAlignment="1" applyProtection="1">
      <alignment horizontal="center"/>
      <protection/>
    </xf>
    <xf numFmtId="0" fontId="13" fillId="28" borderId="51" xfId="0" applyFont="1" applyFill="1" applyBorder="1" applyAlignment="1" applyProtection="1">
      <alignment horizontal="center"/>
      <protection/>
    </xf>
    <xf numFmtId="0" fontId="13" fillId="28" borderId="58" xfId="0" applyFont="1" applyFill="1" applyBorder="1" applyAlignment="1" applyProtection="1">
      <alignment horizontal="center"/>
      <protection/>
    </xf>
    <xf numFmtId="1" fontId="10" fillId="28" borderId="13" xfId="0" applyNumberFormat="1" applyFont="1" applyFill="1" applyBorder="1" applyAlignment="1" applyProtection="1">
      <alignment/>
      <protection/>
    </xf>
    <xf numFmtId="1" fontId="10" fillId="28" borderId="35" xfId="0" applyNumberFormat="1" applyFont="1" applyFill="1" applyBorder="1" applyAlignment="1" applyProtection="1">
      <alignment/>
      <protection/>
    </xf>
    <xf numFmtId="182" fontId="10" fillId="28" borderId="36" xfId="0" applyNumberFormat="1" applyFont="1" applyFill="1" applyBorder="1" applyAlignment="1" applyProtection="1">
      <alignment horizontal="center"/>
      <protection/>
    </xf>
    <xf numFmtId="37" fontId="10" fillId="28" borderId="36" xfId="0" applyNumberFormat="1" applyFont="1" applyFill="1" applyBorder="1" applyAlignment="1" applyProtection="1">
      <alignment horizontal="center"/>
      <protection/>
    </xf>
    <xf numFmtId="185" fontId="13" fillId="28" borderId="39" xfId="0" applyNumberFormat="1" applyFont="1" applyFill="1" applyBorder="1" applyAlignment="1" applyProtection="1">
      <alignment horizontal="center"/>
      <protection/>
    </xf>
    <xf numFmtId="39" fontId="10" fillId="7" borderId="15" xfId="0" applyNumberFormat="1" applyFont="1" applyFill="1" applyBorder="1" applyAlignment="1" applyProtection="1">
      <alignment horizontal="center"/>
      <protection locked="0"/>
    </xf>
    <xf numFmtId="0" fontId="10" fillId="7" borderId="15" xfId="0" applyFont="1" applyFill="1" applyBorder="1" applyAlignment="1" applyProtection="1">
      <alignment horizontal="center"/>
      <protection locked="0"/>
    </xf>
    <xf numFmtId="178" fontId="10" fillId="7" borderId="15" xfId="0" applyNumberFormat="1" applyFont="1" applyFill="1" applyBorder="1" applyAlignment="1" applyProtection="1">
      <alignment horizontal="center"/>
      <protection locked="0"/>
    </xf>
    <xf numFmtId="37" fontId="13" fillId="28" borderId="11" xfId="0" applyNumberFormat="1" applyFont="1" applyFill="1" applyBorder="1" applyAlignment="1" applyProtection="1">
      <alignment horizontal="center"/>
      <protection/>
    </xf>
    <xf numFmtId="1" fontId="10" fillId="28" borderId="13" xfId="0" applyNumberFormat="1" applyFont="1" applyFill="1" applyBorder="1" applyAlignment="1" applyProtection="1">
      <alignment horizontal="left"/>
      <protection/>
    </xf>
    <xf numFmtId="1" fontId="13" fillId="28" borderId="13" xfId="0" applyNumberFormat="1" applyFont="1" applyFill="1" applyBorder="1" applyAlignment="1" applyProtection="1">
      <alignment horizontal="left"/>
      <protection/>
    </xf>
    <xf numFmtId="1" fontId="10" fillId="28" borderId="0" xfId="0" applyNumberFormat="1" applyFont="1" applyFill="1" applyBorder="1" applyAlignment="1" applyProtection="1">
      <alignment horizontal="left"/>
      <protection/>
    </xf>
    <xf numFmtId="0" fontId="12" fillId="28" borderId="0" xfId="0" applyFont="1" applyFill="1" applyBorder="1" applyAlignment="1" applyProtection="1">
      <alignment horizontal="left"/>
      <protection/>
    </xf>
    <xf numFmtId="176" fontId="10" fillId="28" borderId="0" xfId="0" applyNumberFormat="1" applyFont="1" applyFill="1" applyBorder="1" applyAlignment="1" applyProtection="1">
      <alignment/>
      <protection/>
    </xf>
    <xf numFmtId="185" fontId="10" fillId="28" borderId="45" xfId="0" applyNumberFormat="1" applyFont="1" applyFill="1" applyBorder="1" applyAlignment="1" applyProtection="1">
      <alignment horizontal="center"/>
      <protection/>
    </xf>
    <xf numFmtId="1" fontId="10" fillId="28" borderId="35" xfId="0" applyNumberFormat="1" applyFont="1" applyFill="1" applyBorder="1" applyAlignment="1" applyProtection="1">
      <alignment horizontal="left"/>
      <protection/>
    </xf>
    <xf numFmtId="0" fontId="12" fillId="28" borderId="36" xfId="0" applyFont="1" applyFill="1" applyBorder="1" applyAlignment="1" applyProtection="1">
      <alignment horizontal="left"/>
      <protection/>
    </xf>
    <xf numFmtId="0" fontId="13" fillId="28" borderId="51" xfId="0" applyFont="1" applyFill="1" applyBorder="1" applyAlignment="1" applyProtection="1">
      <alignment horizontal="left"/>
      <protection/>
    </xf>
    <xf numFmtId="185" fontId="13" fillId="28" borderId="51" xfId="0" applyNumberFormat="1" applyFont="1" applyFill="1" applyBorder="1" applyAlignment="1" applyProtection="1">
      <alignment horizontal="center"/>
      <protection/>
    </xf>
    <xf numFmtId="0" fontId="0" fillId="28" borderId="51" xfId="0" applyFill="1" applyBorder="1" applyAlignment="1" applyProtection="1">
      <alignment/>
      <protection/>
    </xf>
    <xf numFmtId="185" fontId="13" fillId="28" borderId="58" xfId="0" applyNumberFormat="1" applyFont="1" applyFill="1" applyBorder="1" applyAlignment="1" applyProtection="1">
      <alignment horizontal="center"/>
      <protection/>
    </xf>
    <xf numFmtId="184" fontId="13" fillId="28" borderId="43" xfId="0" applyNumberFormat="1" applyFont="1" applyFill="1" applyBorder="1" applyAlignment="1" applyProtection="1">
      <alignment horizontal="center"/>
      <protection/>
    </xf>
    <xf numFmtId="192" fontId="13" fillId="28" borderId="44" xfId="0" applyNumberFormat="1" applyFont="1" applyFill="1" applyBorder="1" applyAlignment="1" applyProtection="1">
      <alignment horizontal="center"/>
      <protection/>
    </xf>
    <xf numFmtId="192" fontId="13" fillId="28" borderId="14" xfId="0" applyNumberFormat="1" applyFont="1" applyFill="1" applyBorder="1" applyAlignment="1" applyProtection="1">
      <alignment horizontal="center"/>
      <protection/>
    </xf>
    <xf numFmtId="37" fontId="10" fillId="28" borderId="43" xfId="0" applyNumberFormat="1" applyFont="1" applyFill="1" applyBorder="1" applyAlignment="1" applyProtection="1">
      <alignment horizontal="left"/>
      <protection/>
    </xf>
    <xf numFmtId="37" fontId="10" fillId="7" borderId="15" xfId="0" applyNumberFormat="1" applyFont="1" applyFill="1" applyBorder="1" applyAlignment="1" applyProtection="1">
      <alignment/>
      <protection locked="0"/>
    </xf>
    <xf numFmtId="0" fontId="39" fillId="0" borderId="0" xfId="0" applyFont="1" applyFill="1" applyBorder="1" applyAlignment="1" applyProtection="1">
      <alignment/>
      <protection/>
    </xf>
    <xf numFmtId="185" fontId="39" fillId="0" borderId="0" xfId="0" applyNumberFormat="1" applyFont="1" applyFill="1" applyBorder="1" applyAlignment="1" applyProtection="1">
      <alignment/>
      <protection/>
    </xf>
    <xf numFmtId="0" fontId="36" fillId="0" borderId="0" xfId="0" applyFont="1" applyFill="1" applyBorder="1" applyAlignment="1" applyProtection="1">
      <alignment/>
      <protection/>
    </xf>
    <xf numFmtId="0" fontId="39" fillId="0" borderId="0" xfId="0" applyFont="1" applyFill="1" applyBorder="1" applyAlignment="1" applyProtection="1">
      <alignment horizontal="left"/>
      <protection/>
    </xf>
    <xf numFmtId="0" fontId="36" fillId="0" borderId="0" xfId="0" applyFont="1" applyAlignment="1">
      <alignment horizontal="left"/>
    </xf>
    <xf numFmtId="0" fontId="36" fillId="0" borderId="0" xfId="0" applyFont="1" applyAlignment="1">
      <alignment/>
    </xf>
    <xf numFmtId="0" fontId="46" fillId="0" borderId="0" xfId="53" applyFont="1" applyAlignment="1" applyProtection="1">
      <alignment/>
      <protection/>
    </xf>
    <xf numFmtId="0" fontId="10" fillId="7" borderId="15" xfId="0" applyFont="1" applyFill="1" applyBorder="1" applyAlignment="1" applyProtection="1">
      <alignment horizontal="left"/>
      <protection locked="0"/>
    </xf>
    <xf numFmtId="0" fontId="13" fillId="28" borderId="42" xfId="0" applyFont="1" applyFill="1" applyBorder="1" applyAlignment="1" applyProtection="1">
      <alignment horizontal="left"/>
      <protection/>
    </xf>
    <xf numFmtId="37" fontId="10" fillId="28" borderId="14" xfId="0" applyNumberFormat="1" applyFont="1" applyFill="1" applyBorder="1" applyAlignment="1" applyProtection="1">
      <alignment horizontal="center"/>
      <protection/>
    </xf>
    <xf numFmtId="0" fontId="10" fillId="28" borderId="35" xfId="0" applyFont="1" applyFill="1" applyBorder="1" applyAlignment="1" applyProtection="1">
      <alignment horizontal="left"/>
      <protection/>
    </xf>
    <xf numFmtId="37" fontId="10" fillId="28" borderId="39" xfId="0" applyNumberFormat="1" applyFont="1" applyFill="1" applyBorder="1" applyAlignment="1" applyProtection="1">
      <alignment horizontal="center"/>
      <protection/>
    </xf>
    <xf numFmtId="0" fontId="13" fillId="28" borderId="10" xfId="0" applyFont="1" applyFill="1" applyBorder="1" applyAlignment="1" applyProtection="1">
      <alignment horizontal="left"/>
      <protection/>
    </xf>
    <xf numFmtId="178" fontId="10" fillId="28" borderId="14" xfId="0" applyNumberFormat="1" applyFont="1" applyFill="1" applyBorder="1" applyAlignment="1" applyProtection="1">
      <alignment horizontal="center"/>
      <protection/>
    </xf>
    <xf numFmtId="178" fontId="10" fillId="28" borderId="44" xfId="0" applyNumberFormat="1" applyFont="1" applyFill="1" applyBorder="1" applyAlignment="1" applyProtection="1">
      <alignment horizontal="center"/>
      <protection/>
    </xf>
    <xf numFmtId="178" fontId="13" fillId="28" borderId="47" xfId="0" applyNumberFormat="1" applyFont="1" applyFill="1" applyBorder="1" applyAlignment="1" applyProtection="1">
      <alignment horizontal="center"/>
      <protection/>
    </xf>
    <xf numFmtId="10" fontId="13" fillId="28" borderId="36" xfId="0" applyNumberFormat="1" applyFont="1" applyFill="1" applyBorder="1" applyAlignment="1" applyProtection="1">
      <alignment/>
      <protection/>
    </xf>
    <xf numFmtId="0" fontId="10" fillId="7" borderId="15" xfId="0" applyFont="1" applyFill="1" applyBorder="1" applyAlignment="1" applyProtection="1">
      <alignment/>
      <protection/>
    </xf>
    <xf numFmtId="39" fontId="10" fillId="7" borderId="15" xfId="0" applyNumberFormat="1" applyFont="1" applyFill="1" applyBorder="1" applyAlignment="1" applyProtection="1">
      <alignment/>
      <protection locked="0"/>
    </xf>
    <xf numFmtId="178" fontId="10" fillId="7" borderId="15" xfId="0" applyNumberFormat="1" applyFont="1" applyFill="1" applyBorder="1" applyAlignment="1" applyProtection="1">
      <alignment/>
      <protection locked="0"/>
    </xf>
    <xf numFmtId="0" fontId="10" fillId="28" borderId="12" xfId="0" applyFont="1" applyFill="1" applyBorder="1" applyAlignment="1" applyProtection="1">
      <alignment horizontal="center"/>
      <protection/>
    </xf>
    <xf numFmtId="0" fontId="30" fillId="28" borderId="13" xfId="0" applyFont="1" applyFill="1" applyBorder="1" applyAlignment="1" applyProtection="1">
      <alignment horizontal="left"/>
      <protection/>
    </xf>
    <xf numFmtId="185" fontId="10" fillId="28" borderId="59" xfId="0" applyNumberFormat="1" applyFont="1" applyFill="1" applyBorder="1" applyAlignment="1" applyProtection="1">
      <alignment/>
      <protection/>
    </xf>
    <xf numFmtId="184" fontId="10" fillId="28" borderId="45" xfId="0" applyNumberFormat="1" applyFont="1" applyFill="1" applyBorder="1" applyAlignment="1" applyProtection="1">
      <alignment horizontal="center"/>
      <protection/>
    </xf>
    <xf numFmtId="185" fontId="10" fillId="28" borderId="53" xfId="0" applyNumberFormat="1" applyFont="1" applyFill="1" applyBorder="1" applyAlignment="1" applyProtection="1">
      <alignment/>
      <protection/>
    </xf>
    <xf numFmtId="0" fontId="30" fillId="28" borderId="10" xfId="0" applyFont="1" applyFill="1" applyBorder="1" applyAlignment="1" applyProtection="1">
      <alignment horizontal="left"/>
      <protection/>
    </xf>
    <xf numFmtId="178" fontId="10" fillId="28" borderId="11" xfId="0" applyNumberFormat="1" applyFont="1" applyFill="1" applyBorder="1" applyAlignment="1" applyProtection="1">
      <alignment horizontal="left"/>
      <protection/>
    </xf>
    <xf numFmtId="0" fontId="10" fillId="28" borderId="44" xfId="0" applyFont="1" applyFill="1" applyBorder="1" applyAlignment="1" applyProtection="1">
      <alignment horizontal="center"/>
      <protection/>
    </xf>
    <xf numFmtId="176" fontId="10" fillId="28" borderId="14" xfId="0" applyNumberFormat="1" applyFont="1" applyFill="1" applyBorder="1" applyAlignment="1" applyProtection="1">
      <alignment horizontal="center"/>
      <protection/>
    </xf>
    <xf numFmtId="0" fontId="13" fillId="28" borderId="51" xfId="0" applyFont="1" applyFill="1" applyBorder="1" applyAlignment="1" applyProtection="1">
      <alignment/>
      <protection/>
    </xf>
    <xf numFmtId="37" fontId="13" fillId="28" borderId="51" xfId="0" applyNumberFormat="1" applyFont="1" applyFill="1" applyBorder="1" applyAlignment="1" applyProtection="1">
      <alignment/>
      <protection/>
    </xf>
    <xf numFmtId="37" fontId="13" fillId="28" borderId="0" xfId="0" applyNumberFormat="1" applyFont="1" applyFill="1" applyBorder="1" applyAlignment="1" applyProtection="1">
      <alignment/>
      <protection/>
    </xf>
    <xf numFmtId="0" fontId="10" fillId="28" borderId="60" xfId="0" applyFont="1" applyFill="1" applyBorder="1" applyAlignment="1" applyProtection="1">
      <alignment horizontal="left"/>
      <protection/>
    </xf>
    <xf numFmtId="0" fontId="10" fillId="28" borderId="30" xfId="0" applyFont="1" applyFill="1" applyBorder="1" applyAlignment="1" applyProtection="1">
      <alignment horizontal="left"/>
      <protection/>
    </xf>
    <xf numFmtId="0" fontId="13" fillId="28" borderId="61" xfId="0" applyFont="1" applyFill="1" applyBorder="1" applyAlignment="1" applyProtection="1">
      <alignment horizontal="left"/>
      <protection/>
    </xf>
    <xf numFmtId="185" fontId="13" fillId="28" borderId="43" xfId="0" applyNumberFormat="1" applyFont="1" applyFill="1" applyBorder="1" applyAlignment="1" applyProtection="1">
      <alignment/>
      <protection/>
    </xf>
    <xf numFmtId="0" fontId="10" fillId="0" borderId="0" xfId="0" applyFont="1" applyAlignment="1" applyProtection="1">
      <alignment wrapText="1"/>
      <protection locked="0"/>
    </xf>
    <xf numFmtId="3" fontId="10" fillId="0" borderId="0" xfId="0" applyNumberFormat="1" applyFont="1" applyAlignment="1" applyProtection="1">
      <alignment horizontal="center"/>
      <protection locked="0"/>
    </xf>
    <xf numFmtId="0" fontId="11" fillId="28" borderId="62" xfId="0" applyFont="1" applyFill="1" applyBorder="1" applyAlignment="1" applyProtection="1">
      <alignment horizontal="left"/>
      <protection/>
    </xf>
    <xf numFmtId="0" fontId="10" fillId="28" borderId="58" xfId="0" applyFont="1" applyFill="1" applyBorder="1" applyAlignment="1" applyProtection="1">
      <alignment horizontal="center"/>
      <protection/>
    </xf>
    <xf numFmtId="0" fontId="10" fillId="28" borderId="42" xfId="0" applyFont="1" applyFill="1" applyBorder="1" applyAlignment="1" applyProtection="1">
      <alignment horizontal="left"/>
      <protection/>
    </xf>
    <xf numFmtId="184" fontId="10" fillId="28" borderId="17" xfId="0" applyNumberFormat="1" applyFont="1" applyFill="1" applyBorder="1" applyAlignment="1" applyProtection="1">
      <alignment/>
      <protection locked="0"/>
    </xf>
    <xf numFmtId="185" fontId="10" fillId="28" borderId="39" xfId="0" applyNumberFormat="1" applyFont="1" applyFill="1" applyBorder="1" applyAlignment="1" applyProtection="1">
      <alignment horizontal="center"/>
      <protection/>
    </xf>
    <xf numFmtId="37" fontId="10" fillId="7" borderId="15" xfId="0" applyNumberFormat="1" applyFont="1" applyFill="1" applyBorder="1" applyAlignment="1" applyProtection="1">
      <alignment horizontal="center"/>
      <protection locked="0"/>
    </xf>
    <xf numFmtId="3" fontId="10" fillId="7" borderId="15" xfId="0" applyNumberFormat="1" applyFont="1" applyFill="1" applyBorder="1" applyAlignment="1" applyProtection="1">
      <alignment horizontal="center"/>
      <protection locked="0"/>
    </xf>
    <xf numFmtId="0" fontId="10" fillId="28" borderId="11" xfId="0" applyFont="1" applyFill="1" applyBorder="1" applyAlignment="1" applyProtection="1">
      <alignment horizontal="left"/>
      <protection/>
    </xf>
    <xf numFmtId="39" fontId="13" fillId="28" borderId="12" xfId="0" applyNumberFormat="1" applyFont="1" applyFill="1" applyBorder="1" applyAlignment="1" applyProtection="1">
      <alignment horizontal="center"/>
      <protection/>
    </xf>
    <xf numFmtId="0" fontId="10" fillId="28" borderId="31" xfId="0" applyFont="1" applyFill="1" applyBorder="1" applyAlignment="1" applyProtection="1">
      <alignment horizontal="left"/>
      <protection/>
    </xf>
    <xf numFmtId="0" fontId="10" fillId="28" borderId="48" xfId="0" applyFont="1" applyFill="1" applyBorder="1" applyAlignment="1" applyProtection="1">
      <alignment horizontal="left"/>
      <protection/>
    </xf>
    <xf numFmtId="1" fontId="10" fillId="28" borderId="48" xfId="0" applyNumberFormat="1" applyFont="1" applyFill="1" applyBorder="1" applyAlignment="1" applyProtection="1">
      <alignment horizontal="center"/>
      <protection/>
    </xf>
    <xf numFmtId="37" fontId="10" fillId="7" borderId="63" xfId="0" applyNumberFormat="1" applyFont="1" applyFill="1" applyBorder="1" applyAlignment="1" applyProtection="1">
      <alignment horizontal="center"/>
      <protection locked="0"/>
    </xf>
    <xf numFmtId="184" fontId="10" fillId="7" borderId="17" xfId="0" applyNumberFormat="1" applyFont="1" applyFill="1" applyBorder="1" applyAlignment="1" applyProtection="1">
      <alignment/>
      <protection locked="0"/>
    </xf>
    <xf numFmtId="178" fontId="10" fillId="7" borderId="17" xfId="0" applyNumberFormat="1" applyFont="1" applyFill="1" applyBorder="1" applyAlignment="1" applyProtection="1">
      <alignment/>
      <protection locked="0"/>
    </xf>
    <xf numFmtId="3" fontId="10" fillId="7" borderId="63" xfId="0" applyNumberFormat="1" applyFont="1" applyFill="1" applyBorder="1" applyAlignment="1" applyProtection="1">
      <alignment/>
      <protection locked="0"/>
    </xf>
    <xf numFmtId="37" fontId="10" fillId="7" borderId="63" xfId="0" applyNumberFormat="1" applyFont="1" applyFill="1" applyBorder="1" applyAlignment="1" applyProtection="1">
      <alignment/>
      <protection/>
    </xf>
    <xf numFmtId="164" fontId="10" fillId="28" borderId="45" xfId="0" applyNumberFormat="1" applyFont="1" applyFill="1" applyBorder="1" applyAlignment="1" applyProtection="1">
      <alignment horizontal="center"/>
      <protection/>
    </xf>
    <xf numFmtId="164" fontId="10" fillId="28" borderId="14" xfId="0" applyNumberFormat="1" applyFont="1" applyFill="1" applyBorder="1" applyAlignment="1" applyProtection="1">
      <alignment horizontal="center"/>
      <protection/>
    </xf>
    <xf numFmtId="164" fontId="10" fillId="28" borderId="44" xfId="0" applyNumberFormat="1" applyFont="1" applyFill="1" applyBorder="1" applyAlignment="1" applyProtection="1">
      <alignment horizontal="center"/>
      <protection/>
    </xf>
    <xf numFmtId="37" fontId="10" fillId="28" borderId="0" xfId="0" applyNumberFormat="1" applyFont="1" applyFill="1" applyBorder="1" applyAlignment="1" applyProtection="1">
      <alignment/>
      <protection/>
    </xf>
    <xf numFmtId="178" fontId="10" fillId="28" borderId="0" xfId="0" applyNumberFormat="1" applyFont="1" applyFill="1" applyBorder="1" applyAlignment="1" applyProtection="1">
      <alignment horizontal="left"/>
      <protection/>
    </xf>
    <xf numFmtId="0" fontId="10" fillId="28" borderId="42" xfId="0" applyFont="1" applyFill="1" applyBorder="1" applyAlignment="1" applyProtection="1">
      <alignment/>
      <protection/>
    </xf>
    <xf numFmtId="178" fontId="10" fillId="28" borderId="0" xfId="0" applyNumberFormat="1" applyFont="1" applyFill="1" applyBorder="1" applyAlignment="1" applyProtection="1">
      <alignment/>
      <protection/>
    </xf>
    <xf numFmtId="0" fontId="10" fillId="28" borderId="33" xfId="0" applyFont="1" applyFill="1" applyBorder="1" applyAlignment="1" applyProtection="1">
      <alignment/>
      <protection/>
    </xf>
    <xf numFmtId="0" fontId="10" fillId="28" borderId="19" xfId="0" applyFont="1" applyFill="1" applyBorder="1" applyAlignment="1" applyProtection="1">
      <alignment/>
      <protection/>
    </xf>
    <xf numFmtId="0" fontId="13" fillId="28" borderId="64" xfId="0" applyFont="1" applyFill="1" applyBorder="1" applyAlignment="1" applyProtection="1">
      <alignment horizontal="left"/>
      <protection/>
    </xf>
    <xf numFmtId="9" fontId="10" fillId="28" borderId="43" xfId="0" applyNumberFormat="1" applyFont="1" applyFill="1" applyBorder="1" applyAlignment="1" applyProtection="1">
      <alignment/>
      <protection/>
    </xf>
    <xf numFmtId="0" fontId="17" fillId="28" borderId="13" xfId="0" applyFont="1" applyFill="1" applyBorder="1" applyAlignment="1" applyProtection="1">
      <alignment horizontal="left"/>
      <protection/>
    </xf>
    <xf numFmtId="37" fontId="13" fillId="28" borderId="36" xfId="0" applyNumberFormat="1" applyFont="1" applyFill="1" applyBorder="1" applyAlignment="1" applyProtection="1">
      <alignment/>
      <protection/>
    </xf>
    <xf numFmtId="37" fontId="10" fillId="7" borderId="15" xfId="0" applyNumberFormat="1" applyFont="1" applyFill="1" applyBorder="1" applyAlignment="1" applyProtection="1">
      <alignment horizontal="right"/>
      <protection locked="0"/>
    </xf>
    <xf numFmtId="185" fontId="10" fillId="7" borderId="15" xfId="0" applyNumberFormat="1" applyFont="1" applyFill="1" applyBorder="1" applyAlignment="1" applyProtection="1">
      <alignment horizontal="right"/>
      <protection locked="0"/>
    </xf>
    <xf numFmtId="164" fontId="10" fillId="7" borderId="16" xfId="0" applyNumberFormat="1" applyFont="1" applyFill="1" applyBorder="1" applyAlignment="1" applyProtection="1">
      <alignment horizontal="center"/>
      <protection/>
    </xf>
    <xf numFmtId="185" fontId="10" fillId="7" borderId="16" xfId="0" applyNumberFormat="1" applyFont="1" applyFill="1" applyBorder="1" applyAlignment="1" applyProtection="1">
      <alignment horizontal="center"/>
      <protection locked="0"/>
    </xf>
    <xf numFmtId="39" fontId="13" fillId="28" borderId="44" xfId="0" applyNumberFormat="1" applyFont="1" applyFill="1" applyBorder="1" applyAlignment="1" applyProtection="1">
      <alignment horizontal="center"/>
      <protection/>
    </xf>
    <xf numFmtId="184" fontId="10" fillId="7" borderId="15" xfId="0" applyNumberFormat="1" applyFont="1" applyFill="1" applyBorder="1" applyAlignment="1" applyProtection="1">
      <alignment/>
      <protection locked="0"/>
    </xf>
    <xf numFmtId="0" fontId="10" fillId="7" borderId="15" xfId="0" applyFont="1" applyFill="1" applyBorder="1" applyAlignment="1" applyProtection="1">
      <alignment horizontal="center"/>
      <protection/>
    </xf>
    <xf numFmtId="1" fontId="10" fillId="7" borderId="15" xfId="0" applyNumberFormat="1" applyFont="1" applyFill="1" applyBorder="1" applyAlignment="1" applyProtection="1">
      <alignment horizontal="center"/>
      <protection/>
    </xf>
    <xf numFmtId="1" fontId="10" fillId="7" borderId="33" xfId="0" applyNumberFormat="1" applyFont="1" applyFill="1" applyBorder="1" applyAlignment="1" applyProtection="1">
      <alignment horizontal="center"/>
      <protection/>
    </xf>
    <xf numFmtId="2" fontId="10" fillId="7" borderId="34" xfId="0" applyNumberFormat="1" applyFont="1" applyFill="1" applyBorder="1" applyAlignment="1" applyProtection="1">
      <alignment horizontal="center"/>
      <protection locked="0"/>
    </xf>
    <xf numFmtId="1" fontId="10" fillId="7" borderId="19" xfId="0" applyNumberFormat="1" applyFont="1" applyFill="1" applyBorder="1" applyAlignment="1" applyProtection="1">
      <alignment horizontal="center"/>
      <protection/>
    </xf>
    <xf numFmtId="0" fontId="13" fillId="7" borderId="0" xfId="0" applyFont="1" applyFill="1" applyBorder="1" applyAlignment="1" applyProtection="1">
      <alignment horizontal="right"/>
      <protection/>
    </xf>
    <xf numFmtId="0" fontId="13" fillId="28" borderId="35" xfId="0" applyFont="1" applyFill="1" applyBorder="1" applyAlignment="1" applyProtection="1">
      <alignment wrapText="1"/>
      <protection/>
    </xf>
    <xf numFmtId="0" fontId="13" fillId="28" borderId="13" xfId="0" applyFont="1" applyFill="1" applyBorder="1" applyAlignment="1" applyProtection="1">
      <alignment wrapText="1"/>
      <protection/>
    </xf>
    <xf numFmtId="37" fontId="10" fillId="28" borderId="11" xfId="0" applyNumberFormat="1" applyFont="1" applyFill="1" applyBorder="1" applyAlignment="1" applyProtection="1">
      <alignment horizontal="left"/>
      <protection/>
    </xf>
    <xf numFmtId="37" fontId="10" fillId="28" borderId="11" xfId="0" applyNumberFormat="1" applyFont="1" applyFill="1" applyBorder="1" applyAlignment="1" applyProtection="1">
      <alignment horizontal="center"/>
      <protection/>
    </xf>
    <xf numFmtId="1" fontId="12" fillId="28" borderId="13" xfId="0" applyNumberFormat="1" applyFont="1" applyFill="1" applyBorder="1" applyAlignment="1" applyProtection="1">
      <alignment horizontal="left"/>
      <protection/>
    </xf>
    <xf numFmtId="191" fontId="13" fillId="28" borderId="14" xfId="0" applyNumberFormat="1" applyFont="1" applyFill="1" applyBorder="1" applyAlignment="1" applyProtection="1">
      <alignment horizontal="center"/>
      <protection/>
    </xf>
    <xf numFmtId="1" fontId="18" fillId="28" borderId="35" xfId="0" applyNumberFormat="1" applyFont="1" applyFill="1" applyBorder="1" applyAlignment="1" applyProtection="1">
      <alignment horizontal="left"/>
      <protection/>
    </xf>
    <xf numFmtId="0" fontId="22" fillId="28" borderId="11" xfId="0" applyFont="1" applyFill="1" applyBorder="1" applyAlignment="1" applyProtection="1">
      <alignment horizontal="right"/>
      <protection/>
    </xf>
    <xf numFmtId="1" fontId="25" fillId="28" borderId="34" xfId="0" applyNumberFormat="1" applyFont="1" applyFill="1" applyBorder="1" applyAlignment="1" applyProtection="1">
      <alignment/>
      <protection/>
    </xf>
    <xf numFmtId="0" fontId="24" fillId="28" borderId="34" xfId="0" applyFont="1" applyFill="1" applyBorder="1" applyAlignment="1" applyProtection="1">
      <alignment/>
      <protection/>
    </xf>
    <xf numFmtId="0" fontId="24" fillId="28" borderId="49" xfId="0" applyFont="1" applyFill="1" applyBorder="1" applyAlignment="1" applyProtection="1">
      <alignment horizontal="center"/>
      <protection/>
    </xf>
    <xf numFmtId="0" fontId="24" fillId="28" borderId="16" xfId="0" applyFont="1" applyFill="1" applyBorder="1" applyAlignment="1" applyProtection="1">
      <alignment horizontal="center"/>
      <protection/>
    </xf>
    <xf numFmtId="0" fontId="24" fillId="28" borderId="49" xfId="0" applyFont="1" applyFill="1" applyBorder="1" applyAlignment="1" applyProtection="1">
      <alignment/>
      <protection/>
    </xf>
    <xf numFmtId="0" fontId="24" fillId="28" borderId="15" xfId="0" applyFont="1" applyFill="1" applyBorder="1" applyAlignment="1" applyProtection="1">
      <alignment horizontal="center"/>
      <protection/>
    </xf>
    <xf numFmtId="1" fontId="24" fillId="28" borderId="26" xfId="0" applyNumberFormat="1" applyFont="1" applyFill="1" applyBorder="1" applyAlignment="1" applyProtection="1">
      <alignment/>
      <protection/>
    </xf>
    <xf numFmtId="0" fontId="24" fillId="28" borderId="33" xfId="0" applyFont="1" applyFill="1" applyBorder="1" applyAlignment="1" applyProtection="1">
      <alignment horizontal="center"/>
      <protection/>
    </xf>
    <xf numFmtId="0" fontId="24" fillId="28" borderId="65" xfId="0" applyFont="1" applyFill="1" applyBorder="1" applyAlignment="1" applyProtection="1">
      <alignment horizontal="center"/>
      <protection/>
    </xf>
    <xf numFmtId="0" fontId="24" fillId="28" borderId="66" xfId="0" applyFont="1" applyFill="1" applyBorder="1" applyAlignment="1" applyProtection="1">
      <alignment horizontal="center"/>
      <protection/>
    </xf>
    <xf numFmtId="184" fontId="47" fillId="16" borderId="14" xfId="0" applyNumberFormat="1" applyFont="1" applyFill="1" applyBorder="1" applyAlignment="1" applyProtection="1">
      <alignment horizontal="center"/>
      <protection/>
    </xf>
    <xf numFmtId="184" fontId="47" fillId="16" borderId="44" xfId="0" applyNumberFormat="1" applyFont="1" applyFill="1" applyBorder="1" applyAlignment="1" applyProtection="1">
      <alignment horizontal="center"/>
      <protection/>
    </xf>
    <xf numFmtId="184" fontId="48" fillId="16" borderId="14" xfId="0" applyNumberFormat="1" applyFont="1" applyFill="1" applyBorder="1" applyAlignment="1" applyProtection="1">
      <alignment horizontal="center"/>
      <protection/>
    </xf>
    <xf numFmtId="184" fontId="47" fillId="16" borderId="47" xfId="0" applyNumberFormat="1" applyFont="1" applyFill="1" applyBorder="1" applyAlignment="1" applyProtection="1">
      <alignment horizontal="center"/>
      <protection/>
    </xf>
    <xf numFmtId="185" fontId="48" fillId="16" borderId="14" xfId="0" applyNumberFormat="1" applyFont="1" applyFill="1" applyBorder="1" applyAlignment="1" applyProtection="1">
      <alignment horizontal="center"/>
      <protection/>
    </xf>
    <xf numFmtId="189" fontId="47" fillId="16" borderId="14" xfId="0" applyNumberFormat="1" applyFont="1" applyFill="1" applyBorder="1" applyAlignment="1" applyProtection="1">
      <alignment horizontal="left"/>
      <protection/>
    </xf>
    <xf numFmtId="189" fontId="47" fillId="16" borderId="47" xfId="0" applyNumberFormat="1" applyFont="1" applyFill="1" applyBorder="1" applyAlignment="1" applyProtection="1">
      <alignment horizontal="left"/>
      <protection/>
    </xf>
    <xf numFmtId="189" fontId="47" fillId="16" borderId="44" xfId="0" applyNumberFormat="1" applyFont="1" applyFill="1" applyBorder="1" applyAlignment="1" applyProtection="1">
      <alignment horizontal="left"/>
      <protection/>
    </xf>
    <xf numFmtId="189" fontId="48" fillId="16" borderId="44" xfId="0" applyNumberFormat="1" applyFont="1" applyFill="1" applyBorder="1" applyAlignment="1" applyProtection="1">
      <alignment horizontal="left"/>
      <protection/>
    </xf>
    <xf numFmtId="184" fontId="48" fillId="16" borderId="39" xfId="0" applyNumberFormat="1" applyFont="1" applyFill="1" applyBorder="1" applyAlignment="1" applyProtection="1">
      <alignment horizontal="center"/>
      <protection/>
    </xf>
    <xf numFmtId="188" fontId="13" fillId="28" borderId="48" xfId="0" applyNumberFormat="1" applyFont="1" applyFill="1" applyBorder="1" applyAlignment="1" applyProtection="1">
      <alignment horizontal="right"/>
      <protection/>
    </xf>
    <xf numFmtId="188" fontId="13" fillId="28"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0" fontId="9" fillId="0" borderId="0" xfId="0" applyFont="1" applyFill="1" applyBorder="1" applyAlignment="1" applyProtection="1">
      <alignment/>
      <protection/>
    </xf>
    <xf numFmtId="0" fontId="15" fillId="0" borderId="0" xfId="0" applyFont="1" applyFill="1" applyBorder="1" applyAlignment="1" applyProtection="1">
      <alignment horizontal="right"/>
      <protection/>
    </xf>
    <xf numFmtId="0" fontId="0" fillId="0" borderId="0" xfId="0" applyFill="1" applyBorder="1" applyAlignment="1">
      <alignment/>
    </xf>
    <xf numFmtId="0" fontId="9" fillId="28" borderId="67" xfId="0" applyFont="1" applyFill="1" applyBorder="1" applyAlignment="1" applyProtection="1">
      <alignment/>
      <protection/>
    </xf>
    <xf numFmtId="0" fontId="10" fillId="28" borderId="68" xfId="0" applyFont="1" applyFill="1" applyBorder="1" applyAlignment="1" applyProtection="1">
      <alignment/>
      <protection/>
    </xf>
    <xf numFmtId="0" fontId="10" fillId="28" borderId="67" xfId="0" applyFont="1" applyFill="1" applyBorder="1" applyAlignment="1" applyProtection="1">
      <alignment/>
      <protection/>
    </xf>
    <xf numFmtId="1" fontId="13" fillId="28" borderId="67" xfId="0" applyNumberFormat="1" applyFont="1" applyFill="1" applyBorder="1" applyAlignment="1" applyProtection="1">
      <alignment/>
      <protection/>
    </xf>
    <xf numFmtId="1" fontId="13" fillId="28" borderId="67" xfId="0" applyNumberFormat="1" applyFont="1" applyFill="1" applyBorder="1" applyAlignment="1" applyProtection="1">
      <alignment horizontal="center"/>
      <protection/>
    </xf>
    <xf numFmtId="0" fontId="15" fillId="28" borderId="67" xfId="0" applyFont="1" applyFill="1" applyBorder="1" applyAlignment="1" applyProtection="1">
      <alignment horizontal="right"/>
      <protection/>
    </xf>
    <xf numFmtId="3" fontId="13" fillId="28" borderId="69" xfId="0" applyNumberFormat="1" applyFont="1" applyFill="1" applyBorder="1" applyAlignment="1" applyProtection="1">
      <alignment horizontal="center"/>
      <protection/>
    </xf>
    <xf numFmtId="0" fontId="50" fillId="28" borderId="10" xfId="0" applyFont="1" applyFill="1" applyBorder="1" applyAlignment="1" applyProtection="1">
      <alignment/>
      <protection/>
    </xf>
    <xf numFmtId="0" fontId="50" fillId="28" borderId="11" xfId="0" applyFont="1" applyFill="1" applyBorder="1" applyAlignment="1" applyProtection="1">
      <alignment/>
      <protection/>
    </xf>
    <xf numFmtId="0" fontId="48" fillId="28" borderId="11" xfId="0" applyFont="1" applyFill="1" applyBorder="1" applyAlignment="1" applyProtection="1">
      <alignment horizontal="center"/>
      <protection/>
    </xf>
    <xf numFmtId="0" fontId="48" fillId="28" borderId="11" xfId="0" applyFont="1" applyFill="1" applyBorder="1" applyAlignment="1" applyProtection="1">
      <alignment horizontal="left"/>
      <protection/>
    </xf>
    <xf numFmtId="0" fontId="48" fillId="16" borderId="12" xfId="0" applyFont="1" applyFill="1" applyBorder="1" applyAlignment="1" applyProtection="1">
      <alignment horizontal="center"/>
      <protection/>
    </xf>
    <xf numFmtId="0" fontId="10" fillId="16" borderId="14" xfId="0" applyFont="1" applyFill="1" applyBorder="1" applyAlignment="1" applyProtection="1">
      <alignment horizontal="center"/>
      <protection/>
    </xf>
    <xf numFmtId="185" fontId="13" fillId="28" borderId="11" xfId="0" applyNumberFormat="1" applyFont="1" applyFill="1" applyBorder="1" applyAlignment="1" applyProtection="1">
      <alignment horizontal="center"/>
      <protection/>
    </xf>
    <xf numFmtId="185" fontId="10" fillId="28" borderId="48" xfId="0" applyNumberFormat="1" applyFont="1" applyFill="1" applyBorder="1" applyAlignment="1" applyProtection="1">
      <alignment/>
      <protection/>
    </xf>
    <xf numFmtId="185" fontId="10" fillId="28" borderId="11" xfId="0" applyNumberFormat="1" applyFont="1" applyFill="1" applyBorder="1" applyAlignment="1" applyProtection="1">
      <alignment/>
      <protection/>
    </xf>
    <xf numFmtId="185" fontId="0" fillId="0" borderId="0" xfId="0" applyNumberFormat="1" applyAlignment="1">
      <alignment/>
    </xf>
    <xf numFmtId="185" fontId="0" fillId="0" borderId="0" xfId="0" applyNumberFormat="1" applyAlignment="1" applyProtection="1">
      <alignment/>
      <protection/>
    </xf>
    <xf numFmtId="185" fontId="10" fillId="28" borderId="43" xfId="0" applyNumberFormat="1" applyFont="1" applyFill="1" applyBorder="1" applyAlignment="1" applyProtection="1">
      <alignment horizontal="center"/>
      <protection/>
    </xf>
    <xf numFmtId="185" fontId="10" fillId="28" borderId="43" xfId="0" applyNumberFormat="1" applyFont="1" applyFill="1" applyBorder="1" applyAlignment="1" applyProtection="1">
      <alignment horizontal="right"/>
      <protection/>
    </xf>
    <xf numFmtId="185" fontId="13" fillId="28" borderId="36" xfId="0" applyNumberFormat="1" applyFont="1" applyFill="1" applyBorder="1" applyAlignment="1" applyProtection="1">
      <alignment horizontal="right"/>
      <protection/>
    </xf>
    <xf numFmtId="185" fontId="13" fillId="28" borderId="51" xfId="0" applyNumberFormat="1" applyFont="1" applyFill="1" applyBorder="1" applyAlignment="1" applyProtection="1">
      <alignment/>
      <protection/>
    </xf>
    <xf numFmtId="9" fontId="10" fillId="0" borderId="17" xfId="0" applyNumberFormat="1" applyFont="1" applyFill="1" applyBorder="1" applyAlignment="1" applyProtection="1">
      <alignment/>
      <protection locked="0"/>
    </xf>
    <xf numFmtId="0" fontId="38" fillId="0" borderId="0" xfId="0" applyFont="1" applyFill="1" applyAlignment="1">
      <alignment horizontal="center" vertical="top" wrapText="1"/>
    </xf>
    <xf numFmtId="0" fontId="19"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protection/>
    </xf>
    <xf numFmtId="0" fontId="50" fillId="29" borderId="10" xfId="0" applyFont="1" applyFill="1" applyBorder="1" applyAlignment="1" applyProtection="1">
      <alignment/>
      <protection/>
    </xf>
    <xf numFmtId="0" fontId="13" fillId="29" borderId="13" xfId="0" applyFont="1" applyFill="1" applyBorder="1" applyAlignment="1" applyProtection="1">
      <alignment/>
      <protection/>
    </xf>
    <xf numFmtId="0" fontId="10" fillId="29" borderId="13" xfId="0" applyFont="1" applyFill="1" applyBorder="1" applyAlignment="1" applyProtection="1">
      <alignment horizontal="right"/>
      <protection/>
    </xf>
    <xf numFmtId="0" fontId="13" fillId="29" borderId="13" xfId="0" applyFont="1" applyFill="1" applyBorder="1" applyAlignment="1" applyProtection="1">
      <alignment horizontal="right"/>
      <protection/>
    </xf>
    <xf numFmtId="1" fontId="13" fillId="29" borderId="13" xfId="0" applyNumberFormat="1" applyFont="1" applyFill="1" applyBorder="1" applyAlignment="1" applyProtection="1">
      <alignment horizontal="right"/>
      <protection/>
    </xf>
    <xf numFmtId="0" fontId="13" fillId="29" borderId="13" xfId="0" applyFont="1" applyFill="1" applyBorder="1" applyAlignment="1" applyProtection="1">
      <alignment horizontal="left"/>
      <protection/>
    </xf>
    <xf numFmtId="0" fontId="13" fillId="29" borderId="13" xfId="0" applyFont="1" applyFill="1" applyBorder="1" applyAlignment="1" applyProtection="1">
      <alignment horizontal="center"/>
      <protection/>
    </xf>
    <xf numFmtId="0" fontId="9" fillId="29" borderId="13" xfId="0" applyFont="1" applyFill="1" applyBorder="1" applyAlignment="1" applyProtection="1">
      <alignment/>
      <protection/>
    </xf>
    <xf numFmtId="0" fontId="13" fillId="29" borderId="13" xfId="0" applyFont="1" applyFill="1" applyBorder="1" applyAlignment="1" applyProtection="1">
      <alignment wrapText="1"/>
      <protection/>
    </xf>
    <xf numFmtId="0" fontId="13" fillId="29" borderId="35" xfId="0" applyFont="1" applyFill="1" applyBorder="1" applyAlignment="1" applyProtection="1">
      <alignment wrapText="1"/>
      <protection/>
    </xf>
    <xf numFmtId="0" fontId="10" fillId="4" borderId="14" xfId="0" applyFont="1" applyFill="1" applyBorder="1" applyAlignment="1" applyProtection="1">
      <alignment horizontal="center"/>
      <protection/>
    </xf>
    <xf numFmtId="0" fontId="13" fillId="4" borderId="12" xfId="0" applyFont="1" applyFill="1" applyBorder="1" applyAlignment="1" applyProtection="1">
      <alignment horizontal="center"/>
      <protection/>
    </xf>
    <xf numFmtId="184" fontId="10" fillId="4" borderId="14" xfId="0" applyNumberFormat="1" applyFont="1" applyFill="1" applyBorder="1" applyAlignment="1" applyProtection="1">
      <alignment horizontal="center"/>
      <protection/>
    </xf>
    <xf numFmtId="184" fontId="10" fillId="4" borderId="44" xfId="0" applyNumberFormat="1" applyFont="1" applyFill="1" applyBorder="1" applyAlignment="1" applyProtection="1">
      <alignment horizontal="center"/>
      <protection/>
    </xf>
    <xf numFmtId="184" fontId="13" fillId="4" borderId="14" xfId="0" applyNumberFormat="1" applyFont="1" applyFill="1" applyBorder="1" applyAlignment="1" applyProtection="1">
      <alignment horizontal="center"/>
      <protection/>
    </xf>
    <xf numFmtId="184" fontId="10" fillId="4" borderId="47" xfId="0" applyNumberFormat="1" applyFont="1" applyFill="1" applyBorder="1" applyAlignment="1" applyProtection="1">
      <alignment horizontal="center"/>
      <protection/>
    </xf>
    <xf numFmtId="185" fontId="13" fillId="4" borderId="14" xfId="0" applyNumberFormat="1" applyFont="1" applyFill="1" applyBorder="1" applyAlignment="1" applyProtection="1">
      <alignment horizontal="center"/>
      <protection/>
    </xf>
    <xf numFmtId="189" fontId="10" fillId="4" borderId="14" xfId="0" applyNumberFormat="1" applyFont="1" applyFill="1" applyBorder="1" applyAlignment="1" applyProtection="1">
      <alignment horizontal="left"/>
      <protection/>
    </xf>
    <xf numFmtId="189" fontId="10" fillId="4" borderId="47" xfId="0" applyNumberFormat="1" applyFont="1" applyFill="1" applyBorder="1" applyAlignment="1" applyProtection="1">
      <alignment horizontal="left"/>
      <protection/>
    </xf>
    <xf numFmtId="189" fontId="10" fillId="4" borderId="44" xfId="0" applyNumberFormat="1" applyFont="1" applyFill="1" applyBorder="1" applyAlignment="1" applyProtection="1">
      <alignment horizontal="left"/>
      <protection/>
    </xf>
    <xf numFmtId="189" fontId="13" fillId="4" borderId="44" xfId="0" applyNumberFormat="1" applyFont="1" applyFill="1" applyBorder="1" applyAlignment="1" applyProtection="1">
      <alignment horizontal="left"/>
      <protection/>
    </xf>
    <xf numFmtId="184" fontId="13" fillId="4" borderId="39" xfId="0" applyNumberFormat="1" applyFont="1" applyFill="1" applyBorder="1" applyAlignment="1" applyProtection="1">
      <alignment horizontal="center"/>
      <protection/>
    </xf>
    <xf numFmtId="0" fontId="69" fillId="0" borderId="0" xfId="0" applyFont="1" applyBorder="1" applyAlignment="1" applyProtection="1">
      <alignment/>
      <protection/>
    </xf>
    <xf numFmtId="0" fontId="70" fillId="0" borderId="0" xfId="0" applyFont="1" applyBorder="1" applyAlignment="1" applyProtection="1">
      <alignment/>
      <protection/>
    </xf>
    <xf numFmtId="0" fontId="71" fillId="0" borderId="0" xfId="0" applyFont="1" applyAlignment="1" applyProtection="1">
      <alignment/>
      <protection/>
    </xf>
    <xf numFmtId="0" fontId="72" fillId="0" borderId="0" xfId="0" applyFont="1" applyAlignment="1" applyProtection="1">
      <alignment/>
      <protection/>
    </xf>
    <xf numFmtId="0" fontId="74" fillId="0" borderId="0" xfId="0" applyFont="1" applyFill="1" applyBorder="1" applyAlignment="1" applyProtection="1">
      <alignment horizontal="left"/>
      <protection/>
    </xf>
    <xf numFmtId="0" fontId="73" fillId="0" borderId="0" xfId="0" applyFont="1" applyBorder="1" applyAlignment="1" applyProtection="1">
      <alignment/>
      <protection/>
    </xf>
    <xf numFmtId="185" fontId="68" fillId="0" borderId="0" xfId="0" applyNumberFormat="1" applyFont="1" applyFill="1" applyBorder="1" applyAlignment="1" applyProtection="1">
      <alignment/>
      <protection/>
    </xf>
    <xf numFmtId="0" fontId="10" fillId="28" borderId="0" xfId="0" applyFont="1" applyFill="1" applyBorder="1" applyAlignment="1" applyProtection="1">
      <alignment/>
      <protection/>
    </xf>
    <xf numFmtId="1" fontId="10" fillId="28" borderId="0" xfId="0" applyNumberFormat="1" applyFont="1" applyFill="1" applyBorder="1" applyAlignment="1" applyProtection="1">
      <alignment/>
      <protection/>
    </xf>
    <xf numFmtId="0" fontId="10" fillId="28" borderId="0" xfId="0" applyFont="1" applyFill="1" applyBorder="1" applyAlignment="1" applyProtection="1">
      <alignment horizontal="right"/>
      <protection/>
    </xf>
    <xf numFmtId="0" fontId="13" fillId="28" borderId="0" xfId="0" applyFont="1" applyFill="1" applyBorder="1" applyAlignment="1" applyProtection="1">
      <alignment horizontal="center"/>
      <protection/>
    </xf>
    <xf numFmtId="0" fontId="21" fillId="28" borderId="0" xfId="0" applyFont="1" applyFill="1" applyBorder="1" applyAlignment="1" applyProtection="1">
      <alignment/>
      <protection/>
    </xf>
    <xf numFmtId="0" fontId="21" fillId="28" borderId="0" xfId="0" applyFont="1" applyFill="1" applyBorder="1" applyAlignment="1" applyProtection="1">
      <alignment horizontal="right"/>
      <protection/>
    </xf>
    <xf numFmtId="184" fontId="10" fillId="28" borderId="0" xfId="0" applyNumberFormat="1" applyFont="1" applyFill="1" applyBorder="1" applyAlignment="1" applyProtection="1">
      <alignment/>
      <protection/>
    </xf>
    <xf numFmtId="185" fontId="10" fillId="28" borderId="0" xfId="0" applyNumberFormat="1" applyFont="1" applyFill="1" applyBorder="1" applyAlignment="1" applyProtection="1">
      <alignment/>
      <protection/>
    </xf>
    <xf numFmtId="0" fontId="0" fillId="28" borderId="0" xfId="0" applyFill="1" applyBorder="1" applyAlignment="1" applyProtection="1">
      <alignment/>
      <protection/>
    </xf>
    <xf numFmtId="0" fontId="13" fillId="28" borderId="0" xfId="0" applyFont="1" applyFill="1" applyBorder="1" applyAlignment="1" applyProtection="1">
      <alignment horizontal="right"/>
      <protection/>
    </xf>
    <xf numFmtId="1" fontId="11" fillId="21" borderId="11" xfId="0" applyNumberFormat="1" applyFont="1" applyFill="1" applyBorder="1" applyAlignment="1" applyProtection="1">
      <alignment/>
      <protection/>
    </xf>
    <xf numFmtId="0" fontId="10" fillId="21" borderId="11" xfId="0" applyFont="1" applyFill="1" applyBorder="1" applyAlignment="1" applyProtection="1">
      <alignment/>
      <protection/>
    </xf>
    <xf numFmtId="1" fontId="10" fillId="21" borderId="0" xfId="0" applyNumberFormat="1" applyFont="1" applyFill="1" applyBorder="1" applyAlignment="1" applyProtection="1">
      <alignment/>
      <protection/>
    </xf>
    <xf numFmtId="0" fontId="10" fillId="21" borderId="0" xfId="0" applyFont="1" applyFill="1" applyBorder="1" applyAlignment="1" applyProtection="1">
      <alignment/>
      <protection/>
    </xf>
    <xf numFmtId="3" fontId="10" fillId="21" borderId="0" xfId="0" applyNumberFormat="1" applyFont="1" applyFill="1" applyBorder="1" applyAlignment="1" applyProtection="1">
      <alignment/>
      <protection/>
    </xf>
    <xf numFmtId="184" fontId="10" fillId="21" borderId="0" xfId="0" applyNumberFormat="1" applyFont="1" applyFill="1" applyBorder="1" applyAlignment="1" applyProtection="1">
      <alignment/>
      <protection/>
    </xf>
    <xf numFmtId="0" fontId="13" fillId="28" borderId="70" xfId="0" applyFont="1" applyFill="1" applyBorder="1" applyAlignment="1" applyProtection="1">
      <alignment/>
      <protection/>
    </xf>
    <xf numFmtId="0" fontId="10" fillId="28" borderId="71" xfId="0" applyFont="1" applyFill="1" applyBorder="1" applyAlignment="1" applyProtection="1">
      <alignment/>
      <protection/>
    </xf>
    <xf numFmtId="0" fontId="18" fillId="28" borderId="72" xfId="0" applyFont="1" applyFill="1" applyBorder="1" applyAlignment="1" applyProtection="1">
      <alignment/>
      <protection/>
    </xf>
    <xf numFmtId="184" fontId="10" fillId="28" borderId="73" xfId="0" applyNumberFormat="1" applyFont="1" applyFill="1" applyBorder="1" applyAlignment="1" applyProtection="1">
      <alignment horizontal="center"/>
      <protection/>
    </xf>
    <xf numFmtId="0" fontId="13" fillId="28" borderId="72" xfId="0" applyFont="1" applyFill="1" applyBorder="1" applyAlignment="1" applyProtection="1">
      <alignment/>
      <protection/>
    </xf>
    <xf numFmtId="0" fontId="0" fillId="28" borderId="72" xfId="0" applyFill="1" applyBorder="1" applyAlignment="1" applyProtection="1">
      <alignment/>
      <protection/>
    </xf>
    <xf numFmtId="184" fontId="0" fillId="28" borderId="73" xfId="0" applyNumberFormat="1" applyFill="1" applyBorder="1" applyAlignment="1" applyProtection="1">
      <alignment horizontal="center"/>
      <protection/>
    </xf>
    <xf numFmtId="185" fontId="10" fillId="28" borderId="73" xfId="0" applyNumberFormat="1" applyFont="1" applyFill="1" applyBorder="1" applyAlignment="1" applyProtection="1">
      <alignment horizontal="center"/>
      <protection/>
    </xf>
    <xf numFmtId="0" fontId="13" fillId="28" borderId="74" xfId="0" applyFont="1" applyFill="1" applyBorder="1" applyAlignment="1" applyProtection="1">
      <alignment/>
      <protection/>
    </xf>
    <xf numFmtId="0" fontId="10" fillId="28" borderId="75" xfId="0" applyFont="1" applyFill="1" applyBorder="1" applyAlignment="1" applyProtection="1">
      <alignment/>
      <protection/>
    </xf>
    <xf numFmtId="0" fontId="13" fillId="28" borderId="75" xfId="0" applyFont="1" applyFill="1" applyBorder="1" applyAlignment="1" applyProtection="1">
      <alignment/>
      <protection/>
    </xf>
    <xf numFmtId="185" fontId="13" fillId="28" borderId="75" xfId="0" applyNumberFormat="1" applyFont="1" applyFill="1" applyBorder="1" applyAlignment="1" applyProtection="1">
      <alignment/>
      <protection/>
    </xf>
    <xf numFmtId="184" fontId="13" fillId="28" borderId="76" xfId="0" applyNumberFormat="1" applyFont="1" applyFill="1" applyBorder="1" applyAlignment="1" applyProtection="1">
      <alignment horizontal="center"/>
      <protection/>
    </xf>
    <xf numFmtId="0" fontId="10" fillId="28" borderId="77" xfId="0" applyFont="1" applyFill="1" applyBorder="1" applyAlignment="1" applyProtection="1">
      <alignment horizontal="center"/>
      <protection/>
    </xf>
    <xf numFmtId="1" fontId="10" fillId="21" borderId="73" xfId="0" applyNumberFormat="1" applyFont="1" applyFill="1" applyBorder="1" applyAlignment="1" applyProtection="1">
      <alignment horizontal="center"/>
      <protection/>
    </xf>
    <xf numFmtId="0" fontId="10" fillId="28" borderId="73" xfId="0" applyFont="1" applyFill="1" applyBorder="1" applyAlignment="1" applyProtection="1">
      <alignment/>
      <protection/>
    </xf>
    <xf numFmtId="0" fontId="11" fillId="28" borderId="70" xfId="0" applyFont="1" applyFill="1" applyBorder="1" applyAlignment="1" applyProtection="1">
      <alignment/>
      <protection/>
    </xf>
    <xf numFmtId="0" fontId="10" fillId="28" borderId="72" xfId="0" applyFont="1" applyFill="1" applyBorder="1" applyAlignment="1" applyProtection="1">
      <alignment/>
      <protection/>
    </xf>
    <xf numFmtId="185" fontId="13" fillId="28" borderId="77" xfId="0" applyNumberFormat="1" applyFont="1" applyFill="1" applyBorder="1" applyAlignment="1" applyProtection="1">
      <alignment horizontal="center"/>
      <protection/>
    </xf>
    <xf numFmtId="0" fontId="13" fillId="28" borderId="71" xfId="0" applyFont="1" applyFill="1" applyBorder="1" applyAlignment="1" applyProtection="1">
      <alignment horizontal="center"/>
      <protection/>
    </xf>
    <xf numFmtId="0" fontId="73" fillId="0" borderId="0" xfId="0" applyFont="1" applyAlignment="1" applyProtection="1">
      <alignment horizontal="left"/>
      <protection/>
    </xf>
    <xf numFmtId="0" fontId="68" fillId="0" borderId="0" xfId="0" applyFont="1" applyAlignment="1" applyProtection="1">
      <alignment/>
      <protection/>
    </xf>
    <xf numFmtId="170" fontId="10" fillId="21" borderId="0" xfId="0" applyNumberFormat="1" applyFont="1" applyFill="1" applyBorder="1" applyAlignment="1" applyProtection="1">
      <alignment/>
      <protection/>
    </xf>
    <xf numFmtId="1" fontId="13" fillId="21" borderId="11" xfId="0" applyNumberFormat="1" applyFont="1" applyFill="1" applyBorder="1" applyAlignment="1" applyProtection="1">
      <alignment horizontal="center"/>
      <protection/>
    </xf>
    <xf numFmtId="0" fontId="10" fillId="21" borderId="11" xfId="0" applyFont="1" applyFill="1" applyBorder="1" applyAlignment="1" applyProtection="1">
      <alignment horizontal="center"/>
      <protection/>
    </xf>
    <xf numFmtId="0" fontId="10" fillId="21" borderId="43" xfId="0" applyFont="1" applyFill="1" applyBorder="1" applyAlignment="1" applyProtection="1">
      <alignment horizontal="center"/>
      <protection/>
    </xf>
    <xf numFmtId="1" fontId="13" fillId="21" borderId="0" xfId="0" applyNumberFormat="1" applyFont="1" applyFill="1" applyBorder="1" applyAlignment="1" applyProtection="1">
      <alignment horizontal="center"/>
      <protection/>
    </xf>
    <xf numFmtId="10" fontId="10" fillId="21" borderId="43" xfId="0" applyNumberFormat="1" applyFont="1" applyFill="1" applyBorder="1" applyAlignment="1" applyProtection="1">
      <alignment horizontal="center"/>
      <protection/>
    </xf>
    <xf numFmtId="3" fontId="10" fillId="21" borderId="43" xfId="0" applyNumberFormat="1" applyFont="1" applyFill="1" applyBorder="1" applyAlignment="1" applyProtection="1">
      <alignment horizontal="center"/>
      <protection/>
    </xf>
    <xf numFmtId="1" fontId="19" fillId="0" borderId="0" xfId="0" applyNumberFormat="1" applyFont="1" applyAlignment="1" applyProtection="1">
      <alignment/>
      <protection/>
    </xf>
    <xf numFmtId="1" fontId="68" fillId="0" borderId="0" xfId="0" applyNumberFormat="1" applyFont="1" applyAlignment="1" applyProtection="1">
      <alignment/>
      <protection/>
    </xf>
    <xf numFmtId="184" fontId="68" fillId="0" borderId="0" xfId="0" applyNumberFormat="1" applyFont="1" applyAlignment="1" applyProtection="1">
      <alignment/>
      <protection/>
    </xf>
    <xf numFmtId="0" fontId="68" fillId="0" borderId="0" xfId="0" applyFont="1" applyFill="1" applyAlignment="1" applyProtection="1">
      <alignment/>
      <protection/>
    </xf>
    <xf numFmtId="1" fontId="73" fillId="0" borderId="0" xfId="0" applyNumberFormat="1" applyFont="1" applyFill="1" applyBorder="1" applyAlignment="1" applyProtection="1">
      <alignment/>
      <protection/>
    </xf>
    <xf numFmtId="1" fontId="68" fillId="0" borderId="0" xfId="0" applyNumberFormat="1" applyFont="1" applyFill="1" applyBorder="1" applyAlignment="1" applyProtection="1">
      <alignment/>
      <protection/>
    </xf>
    <xf numFmtId="184" fontId="68" fillId="0" borderId="0" xfId="0" applyNumberFormat="1" applyFont="1" applyFill="1" applyBorder="1" applyAlignment="1" applyProtection="1">
      <alignment/>
      <protection/>
    </xf>
    <xf numFmtId="0" fontId="68" fillId="0" borderId="0" xfId="0" applyFont="1" applyFill="1" applyBorder="1" applyAlignment="1" applyProtection="1">
      <alignment/>
      <protection/>
    </xf>
    <xf numFmtId="3" fontId="10" fillId="21" borderId="0" xfId="0" applyNumberFormat="1" applyFont="1" applyFill="1" applyBorder="1" applyAlignment="1" applyProtection="1">
      <alignment horizontal="center"/>
      <protection/>
    </xf>
    <xf numFmtId="1" fontId="73" fillId="0" borderId="0" xfId="0" applyNumberFormat="1" applyFont="1" applyAlignment="1" applyProtection="1">
      <alignment/>
      <protection/>
    </xf>
    <xf numFmtId="3" fontId="72" fillId="0" borderId="0" xfId="0" applyNumberFormat="1" applyFont="1" applyAlignment="1" applyProtection="1">
      <alignment/>
      <protection/>
    </xf>
    <xf numFmtId="1" fontId="72" fillId="0" borderId="0" xfId="0" applyNumberFormat="1" applyFont="1" applyAlignment="1" applyProtection="1">
      <alignment/>
      <protection/>
    </xf>
    <xf numFmtId="184" fontId="10" fillId="21" borderId="14" xfId="0" applyNumberFormat="1" applyFont="1" applyFill="1" applyBorder="1" applyAlignment="1" applyProtection="1">
      <alignment horizontal="center"/>
      <protection/>
    </xf>
    <xf numFmtId="10" fontId="13" fillId="0" borderId="0" xfId="0" applyNumberFormat="1" applyFont="1" applyFill="1" applyBorder="1" applyAlignment="1" applyProtection="1">
      <alignment/>
      <protection/>
    </xf>
    <xf numFmtId="0" fontId="11" fillId="28" borderId="70" xfId="0" applyFont="1" applyFill="1" applyBorder="1" applyAlignment="1" applyProtection="1">
      <alignment horizontal="left"/>
      <protection/>
    </xf>
    <xf numFmtId="0" fontId="10" fillId="28" borderId="71" xfId="0" applyFont="1" applyFill="1" applyBorder="1" applyAlignment="1" applyProtection="1">
      <alignment/>
      <protection/>
    </xf>
    <xf numFmtId="0" fontId="13" fillId="28" borderId="71" xfId="0" applyFont="1" applyFill="1" applyBorder="1" applyAlignment="1" applyProtection="1">
      <alignment horizontal="right"/>
      <protection/>
    </xf>
    <xf numFmtId="1" fontId="10" fillId="21" borderId="71" xfId="0" applyNumberFormat="1" applyFont="1" applyFill="1" applyBorder="1" applyAlignment="1" applyProtection="1">
      <alignment horizontal="center"/>
      <protection/>
    </xf>
    <xf numFmtId="185" fontId="10" fillId="28" borderId="71" xfId="0" applyNumberFormat="1" applyFont="1" applyFill="1" applyBorder="1" applyAlignment="1" applyProtection="1">
      <alignment/>
      <protection/>
    </xf>
    <xf numFmtId="0" fontId="10" fillId="28" borderId="77" xfId="0" applyFont="1" applyFill="1" applyBorder="1" applyAlignment="1" applyProtection="1">
      <alignment/>
      <protection/>
    </xf>
    <xf numFmtId="0" fontId="73" fillId="0" borderId="0" xfId="0" applyFont="1" applyAlignment="1" applyProtection="1">
      <alignment/>
      <protection/>
    </xf>
    <xf numFmtId="0" fontId="75" fillId="0" borderId="0" xfId="0" applyFont="1" applyAlignment="1" applyProtection="1">
      <alignment/>
      <protection/>
    </xf>
    <xf numFmtId="185" fontId="68" fillId="0" borderId="0" xfId="0" applyNumberFormat="1" applyFont="1" applyAlignment="1" applyProtection="1">
      <alignment/>
      <protection/>
    </xf>
    <xf numFmtId="0" fontId="68" fillId="0" borderId="0" xfId="0" applyFont="1" applyAlignment="1" applyProtection="1">
      <alignment horizontal="center"/>
      <protection/>
    </xf>
    <xf numFmtId="37" fontId="10" fillId="21" borderId="51" xfId="0" applyNumberFormat="1" applyFont="1" applyFill="1" applyBorder="1" applyAlignment="1" applyProtection="1">
      <alignment/>
      <protection/>
    </xf>
    <xf numFmtId="0" fontId="10" fillId="0" borderId="0" xfId="0" applyFont="1" applyBorder="1" applyAlignment="1" applyProtection="1">
      <alignment vertical="center" wrapText="1"/>
      <protection/>
    </xf>
    <xf numFmtId="0" fontId="72" fillId="0" borderId="0" xfId="0" applyFont="1" applyAlignment="1">
      <alignment/>
    </xf>
    <xf numFmtId="0" fontId="73" fillId="0" borderId="75" xfId="0" applyFont="1" applyBorder="1" applyAlignment="1" applyProtection="1">
      <alignment vertical="top" wrapText="1"/>
      <protection/>
    </xf>
    <xf numFmtId="0" fontId="41" fillId="28" borderId="25" xfId="0" applyFont="1" applyFill="1" applyBorder="1" applyAlignment="1">
      <alignment horizontal="center" wrapText="1"/>
    </xf>
    <xf numFmtId="0" fontId="41" fillId="28" borderId="0" xfId="0" applyFont="1" applyFill="1" applyBorder="1" applyAlignment="1">
      <alignment horizontal="center" wrapText="1"/>
    </xf>
    <xf numFmtId="0" fontId="67" fillId="28" borderId="10" xfId="0" applyFont="1" applyFill="1" applyBorder="1" applyAlignment="1" applyProtection="1">
      <alignment/>
      <protection/>
    </xf>
    <xf numFmtId="0" fontId="67" fillId="28" borderId="10" xfId="0" applyFont="1" applyFill="1" applyBorder="1" applyAlignment="1" applyProtection="1">
      <alignment horizontal="left"/>
      <protection/>
    </xf>
    <xf numFmtId="0" fontId="27" fillId="28" borderId="78" xfId="0" applyFont="1" applyFill="1" applyBorder="1" applyAlignment="1">
      <alignment horizontal="center" vertical="top"/>
    </xf>
    <xf numFmtId="0" fontId="0" fillId="28" borderId="79" xfId="0" applyFill="1" applyBorder="1" applyAlignment="1">
      <alignment horizontal="center"/>
    </xf>
    <xf numFmtId="0" fontId="0" fillId="28" borderId="79" xfId="0" applyFill="1" applyBorder="1" applyAlignment="1">
      <alignment/>
    </xf>
    <xf numFmtId="0" fontId="39" fillId="28" borderId="79" xfId="0" applyFont="1" applyFill="1" applyBorder="1" applyAlignment="1">
      <alignment horizontal="centerContinuous" wrapText="1"/>
    </xf>
    <xf numFmtId="0" fontId="36" fillId="28" borderId="79" xfId="0" applyFont="1" applyFill="1" applyBorder="1" applyAlignment="1">
      <alignment/>
    </xf>
    <xf numFmtId="0" fontId="38" fillId="28" borderId="79" xfId="0" applyFont="1" applyFill="1" applyBorder="1" applyAlignment="1">
      <alignment wrapText="1"/>
    </xf>
    <xf numFmtId="0" fontId="41" fillId="28" borderId="79" xfId="0" applyFont="1" applyFill="1" applyBorder="1" applyAlignment="1">
      <alignment horizontal="center" wrapText="1"/>
    </xf>
    <xf numFmtId="0" fontId="38" fillId="28" borderId="79" xfId="0" applyFont="1" applyFill="1" applyBorder="1" applyAlignment="1">
      <alignment horizontal="center"/>
    </xf>
    <xf numFmtId="0" fontId="0" fillId="28" borderId="25" xfId="0" applyFill="1" applyBorder="1" applyAlignment="1">
      <alignment/>
    </xf>
    <xf numFmtId="0" fontId="0" fillId="28" borderId="79" xfId="0" applyFill="1" applyBorder="1" applyAlignment="1">
      <alignment/>
    </xf>
    <xf numFmtId="0" fontId="0" fillId="28" borderId="27" xfId="0" applyFill="1" applyBorder="1" applyAlignment="1">
      <alignment/>
    </xf>
    <xf numFmtId="0" fontId="0" fillId="28" borderId="28" xfId="0" applyFill="1" applyBorder="1" applyAlignment="1">
      <alignment/>
    </xf>
    <xf numFmtId="0" fontId="0" fillId="28" borderId="80" xfId="0" applyFill="1" applyBorder="1" applyAlignment="1">
      <alignment/>
    </xf>
    <xf numFmtId="0" fontId="24" fillId="28" borderId="0" xfId="0" applyFont="1" applyFill="1" applyBorder="1" applyAlignment="1" applyProtection="1">
      <alignment horizontal="left"/>
      <protection/>
    </xf>
    <xf numFmtId="0" fontId="24" fillId="28" borderId="43" xfId="0" applyFont="1" applyFill="1" applyBorder="1" applyAlignment="1" applyProtection="1">
      <alignment/>
      <protection/>
    </xf>
    <xf numFmtId="0" fontId="44" fillId="28" borderId="25" xfId="0" applyFont="1" applyFill="1" applyBorder="1" applyAlignment="1">
      <alignment horizontal="center"/>
    </xf>
    <xf numFmtId="0" fontId="0" fillId="28" borderId="0" xfId="0" applyFill="1" applyBorder="1" applyAlignment="1">
      <alignment horizontal="center"/>
    </xf>
    <xf numFmtId="0" fontId="0" fillId="28" borderId="79" xfId="0" applyFill="1" applyBorder="1" applyAlignment="1">
      <alignment horizontal="center"/>
    </xf>
    <xf numFmtId="0" fontId="39" fillId="28" borderId="25" xfId="0" applyFont="1" applyFill="1" applyBorder="1" applyAlignment="1">
      <alignment wrapText="1"/>
    </xf>
    <xf numFmtId="0" fontId="38" fillId="28" borderId="0" xfId="0" applyFont="1" applyFill="1" applyBorder="1" applyAlignment="1">
      <alignment wrapText="1"/>
    </xf>
    <xf numFmtId="0" fontId="38" fillId="28" borderId="79" xfId="0" applyFont="1" applyFill="1" applyBorder="1" applyAlignment="1">
      <alignment wrapText="1"/>
    </xf>
    <xf numFmtId="0" fontId="41" fillId="28" borderId="25" xfId="0" applyFont="1" applyFill="1" applyBorder="1" applyAlignment="1">
      <alignment horizontal="center" wrapText="1"/>
    </xf>
    <xf numFmtId="0" fontId="41" fillId="28" borderId="0" xfId="0" applyFont="1" applyFill="1" applyBorder="1" applyAlignment="1">
      <alignment horizontal="center" wrapText="1"/>
    </xf>
    <xf numFmtId="0" fontId="41" fillId="28" borderId="79" xfId="0" applyFont="1" applyFill="1" applyBorder="1" applyAlignment="1">
      <alignment horizontal="center" wrapText="1"/>
    </xf>
    <xf numFmtId="0" fontId="37" fillId="28" borderId="25" xfId="0" applyFont="1" applyFill="1" applyBorder="1" applyAlignment="1">
      <alignment horizontal="center" wrapText="1"/>
    </xf>
    <xf numFmtId="0" fontId="0" fillId="0" borderId="0" xfId="0" applyBorder="1" applyAlignment="1">
      <alignment/>
    </xf>
    <xf numFmtId="0" fontId="0" fillId="0" borderId="79" xfId="0" applyBorder="1" applyAlignment="1">
      <alignment/>
    </xf>
    <xf numFmtId="0" fontId="44" fillId="28" borderId="25" xfId="0" applyFont="1" applyFill="1" applyBorder="1" applyAlignment="1">
      <alignment horizontal="center" wrapText="1"/>
    </xf>
    <xf numFmtId="0" fontId="44" fillId="28" borderId="0" xfId="0" applyFont="1" applyFill="1" applyBorder="1" applyAlignment="1">
      <alignment horizontal="center" wrapText="1"/>
    </xf>
    <xf numFmtId="0" fontId="44" fillId="28" borderId="79" xfId="0" applyFont="1" applyFill="1" applyBorder="1" applyAlignment="1">
      <alignment horizontal="center" wrapText="1"/>
    </xf>
    <xf numFmtId="0" fontId="36" fillId="28" borderId="0" xfId="0" applyFont="1" applyFill="1" applyBorder="1" applyAlignment="1">
      <alignment wrapText="1"/>
    </xf>
    <xf numFmtId="0" fontId="36" fillId="28" borderId="79" xfId="0" applyFont="1" applyFill="1" applyBorder="1" applyAlignment="1">
      <alignment wrapText="1"/>
    </xf>
    <xf numFmtId="0" fontId="36" fillId="28" borderId="25" xfId="0" applyFont="1" applyFill="1" applyBorder="1" applyAlignment="1">
      <alignment wrapText="1"/>
    </xf>
    <xf numFmtId="0" fontId="39" fillId="0" borderId="0" xfId="0" applyFont="1" applyAlignment="1">
      <alignment horizontal="left" vertical="top" wrapText="1"/>
    </xf>
    <xf numFmtId="0" fontId="38" fillId="0" borderId="0" xfId="0" applyFont="1" applyAlignment="1">
      <alignment horizontal="left" vertical="top" wrapText="1"/>
    </xf>
    <xf numFmtId="0" fontId="73" fillId="0" borderId="0" xfId="0" applyFont="1" applyBorder="1" applyAlignment="1" applyProtection="1">
      <alignment horizontal="left"/>
      <protection/>
    </xf>
    <xf numFmtId="0" fontId="74" fillId="0" borderId="0" xfId="0" applyFont="1" applyBorder="1" applyAlignment="1" applyProtection="1">
      <alignment horizontal="left"/>
      <protection/>
    </xf>
    <xf numFmtId="0" fontId="13" fillId="28" borderId="81" xfId="0" applyFont="1" applyFill="1" applyBorder="1" applyAlignment="1" applyProtection="1">
      <alignment horizontal="center"/>
      <protection/>
    </xf>
    <xf numFmtId="0" fontId="13" fillId="28" borderId="82"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3" fillId="28" borderId="83" xfId="0" applyFont="1" applyFill="1" applyBorder="1" applyAlignment="1" applyProtection="1">
      <alignment horizontal="center"/>
      <protection/>
    </xf>
    <xf numFmtId="0" fontId="13" fillId="28" borderId="84" xfId="0" applyFont="1" applyFill="1" applyBorder="1" applyAlignment="1" applyProtection="1">
      <alignment horizontal="center"/>
      <protection/>
    </xf>
    <xf numFmtId="0" fontId="13" fillId="28" borderId="85" xfId="0" applyFont="1" applyFill="1" applyBorder="1" applyAlignment="1" applyProtection="1">
      <alignment horizontal="center"/>
      <protection/>
    </xf>
    <xf numFmtId="0" fontId="67" fillId="28" borderId="83" xfId="0" applyFont="1" applyFill="1" applyBorder="1" applyAlignment="1" applyProtection="1">
      <alignment horizontal="left"/>
      <protection/>
    </xf>
    <xf numFmtId="0" fontId="67" fillId="28" borderId="84" xfId="0" applyFont="1" applyFill="1" applyBorder="1" applyAlignment="1" applyProtection="1">
      <alignment horizontal="left"/>
      <protection/>
    </xf>
    <xf numFmtId="0" fontId="67" fillId="28" borderId="10" xfId="0" applyFont="1" applyFill="1" applyBorder="1" applyAlignment="1" applyProtection="1">
      <alignment horizontal="center" vertical="center"/>
      <protection/>
    </xf>
    <xf numFmtId="0" fontId="67" fillId="28" borderId="11" xfId="0" applyFont="1" applyFill="1" applyBorder="1" applyAlignment="1" applyProtection="1">
      <alignment horizontal="center" vertical="center"/>
      <protection/>
    </xf>
    <xf numFmtId="0" fontId="67" fillId="28" borderId="12" xfId="0" applyFont="1" applyFill="1" applyBorder="1" applyAlignment="1" applyProtection="1">
      <alignment horizontal="center" vertical="center"/>
      <protection/>
    </xf>
    <xf numFmtId="1" fontId="13" fillId="28" borderId="60" xfId="0" applyNumberFormat="1" applyFont="1" applyFill="1" applyBorder="1" applyAlignment="1" applyProtection="1">
      <alignment horizontal="center"/>
      <protection/>
    </xf>
    <xf numFmtId="1" fontId="13" fillId="28" borderId="48" xfId="0" applyNumberFormat="1" applyFont="1" applyFill="1" applyBorder="1" applyAlignment="1" applyProtection="1">
      <alignment horizontal="center"/>
      <protection/>
    </xf>
    <xf numFmtId="1" fontId="13" fillId="28" borderId="45" xfId="0" applyNumberFormat="1" applyFont="1" applyFill="1" applyBorder="1" applyAlignment="1" applyProtection="1">
      <alignment horizontal="center"/>
      <protection/>
    </xf>
    <xf numFmtId="0" fontId="13" fillId="28" borderId="0" xfId="0" applyFont="1" applyFill="1" applyBorder="1" applyAlignment="1" applyProtection="1">
      <alignment horizontal="center"/>
      <protection/>
    </xf>
    <xf numFmtId="0" fontId="73" fillId="0" borderId="0" xfId="0" applyFont="1" applyBorder="1" applyAlignment="1" applyProtection="1">
      <alignment/>
      <protection/>
    </xf>
    <xf numFmtId="0" fontId="72" fillId="0" borderId="0" xfId="0" applyFont="1" applyBorder="1" applyAlignment="1">
      <alignment/>
    </xf>
    <xf numFmtId="0" fontId="10" fillId="7" borderId="15" xfId="0" applyFont="1" applyFill="1" applyBorder="1" applyAlignment="1" applyProtection="1">
      <alignment horizontal="center"/>
      <protection locked="0"/>
    </xf>
    <xf numFmtId="0" fontId="10" fillId="7" borderId="49" xfId="0" applyFont="1" applyFill="1" applyBorder="1" applyAlignment="1" applyProtection="1">
      <alignment horizontal="center"/>
      <protection locked="0"/>
    </xf>
    <xf numFmtId="0" fontId="19" fillId="28" borderId="13" xfId="0" applyFont="1" applyFill="1" applyBorder="1" applyAlignment="1" applyProtection="1">
      <alignment horizontal="left"/>
      <protection/>
    </xf>
    <xf numFmtId="0" fontId="19" fillId="28" borderId="0" xfId="0" applyFont="1" applyFill="1" applyBorder="1" applyAlignment="1" applyProtection="1">
      <alignment horizontal="left"/>
      <protection/>
    </xf>
    <xf numFmtId="0" fontId="19" fillId="28" borderId="14" xfId="0" applyFont="1" applyFill="1" applyBorder="1" applyAlignment="1" applyProtection="1">
      <alignment horizontal="left"/>
      <protection/>
    </xf>
    <xf numFmtId="0" fontId="35" fillId="0" borderId="0" xfId="0" applyFont="1" applyAlignment="1">
      <alignment horizontal="left" vertical="top" wrapText="1"/>
    </xf>
    <xf numFmtId="0" fontId="7" fillId="0" borderId="0" xfId="0" applyFont="1" applyAlignment="1">
      <alignment vertical="top" wrapText="1"/>
    </xf>
    <xf numFmtId="0" fontId="10" fillId="7" borderId="33" xfId="0" applyFont="1" applyFill="1" applyBorder="1" applyAlignment="1" applyProtection="1">
      <alignment horizontal="center"/>
      <protection locked="0"/>
    </xf>
    <xf numFmtId="0" fontId="10" fillId="7" borderId="19" xfId="0" applyFont="1" applyFill="1" applyBorder="1" applyAlignment="1" applyProtection="1">
      <alignment horizontal="center"/>
      <protection locked="0"/>
    </xf>
    <xf numFmtId="0" fontId="36" fillId="0" borderId="0" xfId="0" applyFont="1" applyAlignment="1">
      <alignment horizontal="left" vertical="top" wrapText="1"/>
    </xf>
    <xf numFmtId="0" fontId="0" fillId="0" borderId="0" xfId="0" applyFont="1" applyAlignment="1">
      <alignment vertical="top" wrapText="1"/>
    </xf>
    <xf numFmtId="0" fontId="36" fillId="0" borderId="0" xfId="0" applyFont="1" applyAlignment="1" applyProtection="1">
      <alignment vertical="top" wrapText="1"/>
      <protection/>
    </xf>
    <xf numFmtId="0" fontId="36" fillId="0" borderId="0" xfId="0" applyFont="1" applyAlignment="1">
      <alignment vertical="top"/>
    </xf>
    <xf numFmtId="0" fontId="10" fillId="0" borderId="0" xfId="0" applyFont="1" applyAlignment="1" applyProtection="1">
      <alignment vertical="top" wrapText="1"/>
      <protection locked="0"/>
    </xf>
    <xf numFmtId="0" fontId="0" fillId="0" borderId="0" xfId="0" applyAlignment="1">
      <alignment vertical="top" wrapText="1"/>
    </xf>
    <xf numFmtId="0" fontId="10" fillId="7" borderId="15" xfId="0" applyFont="1" applyFill="1" applyBorder="1" applyAlignment="1" applyProtection="1">
      <alignment horizontal="left"/>
      <protection locked="0"/>
    </xf>
    <xf numFmtId="0" fontId="19" fillId="0" borderId="36" xfId="0" applyFont="1" applyFill="1" applyBorder="1" applyAlignment="1" applyProtection="1">
      <alignment horizontal="center"/>
      <protection/>
    </xf>
    <xf numFmtId="0" fontId="19" fillId="28" borderId="10" xfId="0" applyFont="1" applyFill="1" applyBorder="1" applyAlignment="1" applyProtection="1">
      <alignment horizontal="center" vertical="center"/>
      <protection/>
    </xf>
    <xf numFmtId="0" fontId="19" fillId="28" borderId="11" xfId="0" applyFont="1" applyFill="1" applyBorder="1" applyAlignment="1" applyProtection="1">
      <alignment horizontal="center" vertical="center"/>
      <protection/>
    </xf>
    <xf numFmtId="0" fontId="19" fillId="28" borderId="12" xfId="0" applyFont="1" applyFill="1" applyBorder="1" applyAlignment="1" applyProtection="1">
      <alignment horizontal="center" vertical="center"/>
      <protection/>
    </xf>
    <xf numFmtId="0" fontId="19" fillId="28" borderId="83" xfId="0" applyFont="1" applyFill="1" applyBorder="1" applyAlignment="1" applyProtection="1">
      <alignment horizontal="left"/>
      <protection/>
    </xf>
    <xf numFmtId="0" fontId="19" fillId="28" borderId="84" xfId="0" applyFont="1" applyFill="1" applyBorder="1" applyAlignment="1" applyProtection="1">
      <alignment horizontal="left"/>
      <protection/>
    </xf>
    <xf numFmtId="0" fontId="13" fillId="28" borderId="84" xfId="0" applyFont="1" applyFill="1" applyBorder="1" applyAlignment="1" applyProtection="1">
      <alignment horizontal="left"/>
      <protection/>
    </xf>
    <xf numFmtId="0" fontId="49" fillId="0" borderId="67"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76200</xdr:rowOff>
    </xdr:from>
    <xdr:to>
      <xdr:col>2</xdr:col>
      <xdr:colOff>447675</xdr:colOff>
      <xdr:row>3</xdr:row>
      <xdr:rowOff>285750</xdr:rowOff>
    </xdr:to>
    <xdr:pic>
      <xdr:nvPicPr>
        <xdr:cNvPr id="1" name="Picture 1" descr="mfc logo - transp tiff.tif"/>
        <xdr:cNvPicPr preferRelativeResize="1">
          <a:picLocks noChangeAspect="1"/>
        </xdr:cNvPicPr>
      </xdr:nvPicPr>
      <xdr:blipFill>
        <a:blip r:embed="rId1"/>
        <a:stretch>
          <a:fillRect/>
        </a:stretch>
      </xdr:blipFill>
      <xdr:spPr>
        <a:xfrm>
          <a:off x="1323975" y="838200"/>
          <a:ext cx="1247775" cy="771525"/>
        </a:xfrm>
        <a:prstGeom prst="rect">
          <a:avLst/>
        </a:prstGeom>
        <a:noFill/>
        <a:ln w="9525" cmpd="sng">
          <a:noFill/>
        </a:ln>
      </xdr:spPr>
    </xdr:pic>
    <xdr:clientData/>
  </xdr:twoCellAnchor>
  <xdr:twoCellAnchor>
    <xdr:from>
      <xdr:col>7</xdr:col>
      <xdr:colOff>28575</xdr:colOff>
      <xdr:row>0</xdr:row>
      <xdr:rowOff>180975</xdr:rowOff>
    </xdr:from>
    <xdr:to>
      <xdr:col>7</xdr:col>
      <xdr:colOff>1152525</xdr:colOff>
      <xdr:row>0</xdr:row>
      <xdr:rowOff>571500</xdr:rowOff>
    </xdr:to>
    <xdr:sp macro="[0]!Button2_Click">
      <xdr:nvSpPr>
        <xdr:cNvPr id="2" name="Rectangle 66"/>
        <xdr:cNvSpPr>
          <a:spLocks/>
        </xdr:cNvSpPr>
      </xdr:nvSpPr>
      <xdr:spPr>
        <a:xfrm>
          <a:off x="6343650" y="180975"/>
          <a:ext cx="1123950" cy="390525"/>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  START</a:t>
          </a:r>
        </a:p>
      </xdr:txBody>
    </xdr:sp>
    <xdr:clientData/>
  </xdr:twoCellAnchor>
  <xdr:twoCellAnchor>
    <xdr:from>
      <xdr:col>1</xdr:col>
      <xdr:colOff>47625</xdr:colOff>
      <xdr:row>18</xdr:row>
      <xdr:rowOff>180975</xdr:rowOff>
    </xdr:from>
    <xdr:to>
      <xdr:col>7</xdr:col>
      <xdr:colOff>1085850</xdr:colOff>
      <xdr:row>24</xdr:row>
      <xdr:rowOff>38100</xdr:rowOff>
    </xdr:to>
    <xdr:sp>
      <xdr:nvSpPr>
        <xdr:cNvPr id="3" name="Text Box 69"/>
        <xdr:cNvSpPr txBox="1">
          <a:spLocks noChangeArrowheads="1"/>
        </xdr:cNvSpPr>
      </xdr:nvSpPr>
      <xdr:spPr>
        <a:xfrm>
          <a:off x="1333500" y="5543550"/>
          <a:ext cx="6067425" cy="1200150"/>
        </a:xfrm>
        <a:prstGeom prst="rect">
          <a:avLst/>
        </a:prstGeom>
        <a:noFill/>
        <a:ln w="9525" cmpd="sng">
          <a:noFill/>
        </a:ln>
      </xdr:spPr>
      <xdr:txBody>
        <a:bodyPr vertOverflow="clip" wrap="square" lIns="27432" tIns="18288" rIns="0" bIns="0"/>
        <a:p>
          <a:pPr algn="l">
            <a:defRPr/>
          </a:pPr>
          <a:r>
            <a:rPr lang="en-US" cap="none" sz="1000" b="0" i="1" u="none" baseline="0">
              <a:solidFill>
                <a:srgbClr val="000000"/>
              </a:solidFill>
              <a:latin typeface="Arial"/>
              <a:ea typeface="Arial"/>
              <a:cs typeface="Arial"/>
            </a:rPr>
            <a:t>This model was developed by the Manitoba Forage Council in February of 2009.  The Manitoba Forage Council accepts no responsibility for the utilization of this information.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Thank you to our funding supporters: Agriculture and Agri-Food Canada's Greencover Canada Program and the Manitoba Association of Agricultural Societies Managing Risk Education Program.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Please forward your comments to mfc@mbforagecouncil.mb.ca or (204) 726-9393
</a:t>
          </a:r>
          <a:r>
            <a:rPr lang="en-US" cap="none" sz="1000" b="0" i="0" u="none" baseline="0">
              <a:solidFill>
                <a:srgbClr val="000000"/>
              </a:solidFill>
              <a:latin typeface="Courier"/>
              <a:ea typeface="Courier"/>
              <a:cs typeface="Courier"/>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1</xdr:row>
      <xdr:rowOff>0</xdr:rowOff>
    </xdr:from>
    <xdr:to>
      <xdr:col>7</xdr:col>
      <xdr:colOff>533400</xdr:colOff>
      <xdr:row>2</xdr:row>
      <xdr:rowOff>0</xdr:rowOff>
    </xdr:to>
    <xdr:sp macro="[0]!Button9_Click">
      <xdr:nvSpPr>
        <xdr:cNvPr id="1" name="Rectangle 21"/>
        <xdr:cNvSpPr>
          <a:spLocks/>
        </xdr:cNvSpPr>
      </xdr:nvSpPr>
      <xdr:spPr>
        <a:xfrm>
          <a:off x="5114925" y="190500"/>
          <a:ext cx="63817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7</xdr:col>
      <xdr:colOff>609600</xdr:colOff>
      <xdr:row>1</xdr:row>
      <xdr:rowOff>0</xdr:rowOff>
    </xdr:from>
    <xdr:to>
      <xdr:col>9</xdr:col>
      <xdr:colOff>152400</xdr:colOff>
      <xdr:row>2</xdr:row>
      <xdr:rowOff>0</xdr:rowOff>
    </xdr:to>
    <xdr:sp macro="[0]!PrintAll">
      <xdr:nvSpPr>
        <xdr:cNvPr id="2" name="Rectangle 22"/>
        <xdr:cNvSpPr>
          <a:spLocks/>
        </xdr:cNvSpPr>
      </xdr:nvSpPr>
      <xdr:spPr>
        <a:xfrm>
          <a:off x="5829300" y="190500"/>
          <a:ext cx="952500"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latin typeface="Courier"/>
              <a:ea typeface="Courier"/>
              <a:cs typeface="Courier"/>
            </a:rPr>
            <a:t>PRINT ALL</a:t>
          </a:r>
        </a:p>
      </xdr:txBody>
    </xdr:sp>
    <xdr:clientData/>
  </xdr:twoCellAnchor>
  <xdr:twoCellAnchor>
    <xdr:from>
      <xdr:col>0</xdr:col>
      <xdr:colOff>104775</xdr:colOff>
      <xdr:row>2</xdr:row>
      <xdr:rowOff>123825</xdr:rowOff>
    </xdr:from>
    <xdr:to>
      <xdr:col>7</xdr:col>
      <xdr:colOff>200025</xdr:colOff>
      <xdr:row>4</xdr:row>
      <xdr:rowOff>9525</xdr:rowOff>
    </xdr:to>
    <xdr:sp>
      <xdr:nvSpPr>
        <xdr:cNvPr id="3" name="TextBox 1"/>
        <xdr:cNvSpPr txBox="1">
          <a:spLocks noChangeArrowheads="1"/>
        </xdr:cNvSpPr>
      </xdr:nvSpPr>
      <xdr:spPr>
        <a:xfrm>
          <a:off x="104775" y="714375"/>
          <a:ext cx="5314950" cy="314325"/>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You have completed the Model. Press PRINT ALL to print all the pages.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xdr:row>
      <xdr:rowOff>0</xdr:rowOff>
    </xdr:from>
    <xdr:to>
      <xdr:col>6</xdr:col>
      <xdr:colOff>257175</xdr:colOff>
      <xdr:row>2</xdr:row>
      <xdr:rowOff>0</xdr:rowOff>
    </xdr:to>
    <xdr:sp macro="[0]!Button1_Click">
      <xdr:nvSpPr>
        <xdr:cNvPr id="1" name="Rectangle 15"/>
        <xdr:cNvSpPr>
          <a:spLocks/>
        </xdr:cNvSpPr>
      </xdr:nvSpPr>
      <xdr:spPr>
        <a:xfrm>
          <a:off x="3867150" y="190500"/>
          <a:ext cx="73342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6</xdr:col>
      <xdr:colOff>314325</xdr:colOff>
      <xdr:row>1</xdr:row>
      <xdr:rowOff>0</xdr:rowOff>
    </xdr:from>
    <xdr:to>
      <xdr:col>8</xdr:col>
      <xdr:colOff>66675</xdr:colOff>
      <xdr:row>2</xdr:row>
      <xdr:rowOff>0</xdr:rowOff>
    </xdr:to>
    <xdr:sp macro="[0]!Button3_Click">
      <xdr:nvSpPr>
        <xdr:cNvPr id="2" name="Rectangle 16"/>
        <xdr:cNvSpPr>
          <a:spLocks/>
        </xdr:cNvSpPr>
      </xdr:nvSpPr>
      <xdr:spPr>
        <a:xfrm>
          <a:off x="4657725" y="190500"/>
          <a:ext cx="1095375"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  NEXT &gt;&gt;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9</xdr:col>
      <xdr:colOff>733425</xdr:colOff>
      <xdr:row>5</xdr:row>
      <xdr:rowOff>0</xdr:rowOff>
    </xdr:to>
    <xdr:sp>
      <xdr:nvSpPr>
        <xdr:cNvPr id="1" name="TextBox 1"/>
        <xdr:cNvSpPr txBox="1">
          <a:spLocks noChangeArrowheads="1"/>
        </xdr:cNvSpPr>
      </xdr:nvSpPr>
      <xdr:spPr>
        <a:xfrm>
          <a:off x="209550" y="1114425"/>
          <a:ext cx="6810375" cy="47625"/>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Step 2. </a:t>
          </a:r>
          <a:r>
            <a:rPr lang="en-US" cap="none" sz="1100" b="0" i="0" u="none" baseline="0">
              <a:solidFill>
                <a:srgbClr val="000000"/>
              </a:solidFill>
              <a:latin typeface="Calibri"/>
              <a:ea typeface="Calibri"/>
              <a:cs typeface="Calibri"/>
            </a:rPr>
            <a:t>Fill in the white boxes below (the yellow boxes will be completed as you move through the process). Then press NEXT to continue.
</a:t>
          </a:r>
        </a:p>
      </xdr:txBody>
    </xdr:sp>
    <xdr:clientData/>
  </xdr:twoCellAnchor>
  <xdr:twoCellAnchor>
    <xdr:from>
      <xdr:col>5</xdr:col>
      <xdr:colOff>295275</xdr:colOff>
      <xdr:row>1</xdr:row>
      <xdr:rowOff>0</xdr:rowOff>
    </xdr:from>
    <xdr:to>
      <xdr:col>6</xdr:col>
      <xdr:colOff>257175</xdr:colOff>
      <xdr:row>2</xdr:row>
      <xdr:rowOff>0</xdr:rowOff>
    </xdr:to>
    <xdr:sp macro="[0]!Button2_Click">
      <xdr:nvSpPr>
        <xdr:cNvPr id="2" name="Rectangle 67"/>
        <xdr:cNvSpPr>
          <a:spLocks/>
        </xdr:cNvSpPr>
      </xdr:nvSpPr>
      <xdr:spPr>
        <a:xfrm>
          <a:off x="4086225" y="190500"/>
          <a:ext cx="61912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6</xdr:col>
      <xdr:colOff>314325</xdr:colOff>
      <xdr:row>1</xdr:row>
      <xdr:rowOff>0</xdr:rowOff>
    </xdr:from>
    <xdr:to>
      <xdr:col>8</xdr:col>
      <xdr:colOff>219075</xdr:colOff>
      <xdr:row>2</xdr:row>
      <xdr:rowOff>0</xdr:rowOff>
    </xdr:to>
    <xdr:sp macro="[0]!Button4_Click">
      <xdr:nvSpPr>
        <xdr:cNvPr id="3" name="Rectangle 68"/>
        <xdr:cNvSpPr>
          <a:spLocks/>
        </xdr:cNvSpPr>
      </xdr:nvSpPr>
      <xdr:spPr>
        <a:xfrm>
          <a:off x="4762500" y="190500"/>
          <a:ext cx="981075"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161925</xdr:colOff>
      <xdr:row>2</xdr:row>
      <xdr:rowOff>123825</xdr:rowOff>
    </xdr:from>
    <xdr:to>
      <xdr:col>9</xdr:col>
      <xdr:colOff>685800</xdr:colOff>
      <xdr:row>5</xdr:row>
      <xdr:rowOff>9525</xdr:rowOff>
    </xdr:to>
    <xdr:sp>
      <xdr:nvSpPr>
        <xdr:cNvPr id="4" name="TextBox 1"/>
        <xdr:cNvSpPr txBox="1">
          <a:spLocks noChangeArrowheads="1"/>
        </xdr:cNvSpPr>
      </xdr:nvSpPr>
      <xdr:spPr>
        <a:xfrm>
          <a:off x="161925" y="714375"/>
          <a:ext cx="6810375" cy="457200"/>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Fill in the white boxes below (the yellow boxes will be completed as you move through the process). Then press NEXT to continue.</a:t>
          </a:r>
          <a:r>
            <a:rPr lang="en-US" cap="none" sz="1000" b="0" i="0" u="none" baseline="0">
              <a:solidFill>
                <a:srgbClr val="000000"/>
              </a:solidFill>
              <a:latin typeface="Courier"/>
              <a:ea typeface="Courier"/>
              <a:cs typeface="Courier"/>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114300</xdr:rowOff>
    </xdr:from>
    <xdr:to>
      <xdr:col>10</xdr:col>
      <xdr:colOff>104775</xdr:colOff>
      <xdr:row>5</xdr:row>
      <xdr:rowOff>0</xdr:rowOff>
    </xdr:to>
    <xdr:sp>
      <xdr:nvSpPr>
        <xdr:cNvPr id="1" name="TextBox 1"/>
        <xdr:cNvSpPr txBox="1">
          <a:spLocks noChangeArrowheads="1"/>
        </xdr:cNvSpPr>
      </xdr:nvSpPr>
      <xdr:spPr>
        <a:xfrm>
          <a:off x="200025" y="1085850"/>
          <a:ext cx="6791325" cy="76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Step 3.  </a:t>
          </a:r>
          <a:r>
            <a:rPr lang="en-US" cap="none" sz="1100" b="0" i="0" u="none" baseline="0">
              <a:solidFill>
                <a:srgbClr val="000000"/>
              </a:solidFill>
              <a:latin typeface="Calibri"/>
              <a:ea typeface="Calibri"/>
              <a:cs typeface="Calibri"/>
            </a:rPr>
            <a:t>Fill in the white boxes below (the yellow boxes will be completed as you move through the process). Then press NEXT to continue.
</a:t>
          </a:r>
          <a:r>
            <a:rPr lang="en-US" cap="none" sz="1100" b="0" i="0" u="none" baseline="0">
              <a:solidFill>
                <a:srgbClr val="000000"/>
              </a:solidFill>
              <a:latin typeface="Calibri"/>
              <a:ea typeface="Calibri"/>
              <a:cs typeface="Calibri"/>
            </a:rPr>
            <a:t>
</a:t>
          </a:r>
        </a:p>
      </xdr:txBody>
    </xdr:sp>
    <xdr:clientData/>
  </xdr:twoCellAnchor>
  <xdr:twoCellAnchor>
    <xdr:from>
      <xdr:col>0</xdr:col>
      <xdr:colOff>171450</xdr:colOff>
      <xdr:row>2</xdr:row>
      <xdr:rowOff>123825</xdr:rowOff>
    </xdr:from>
    <xdr:to>
      <xdr:col>10</xdr:col>
      <xdr:colOff>66675</xdr:colOff>
      <xdr:row>5</xdr:row>
      <xdr:rowOff>9525</xdr:rowOff>
    </xdr:to>
    <xdr:sp>
      <xdr:nvSpPr>
        <xdr:cNvPr id="2" name="TextBox 1"/>
        <xdr:cNvSpPr txBox="1">
          <a:spLocks noChangeArrowheads="1"/>
        </xdr:cNvSpPr>
      </xdr:nvSpPr>
      <xdr:spPr>
        <a:xfrm>
          <a:off x="171450" y="714375"/>
          <a:ext cx="6781800" cy="457200"/>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3. </a:t>
          </a:r>
          <a:r>
            <a:rPr lang="en-US" cap="none" sz="1000" b="0" i="0" u="none" baseline="0">
              <a:solidFill>
                <a:srgbClr val="000000"/>
              </a:solidFill>
              <a:latin typeface="Arial"/>
              <a:ea typeface="Arial"/>
              <a:cs typeface="Arial"/>
            </a:rPr>
            <a:t> Fill in the white boxes below (the yellow boxes will be completed as you move through the process). Then press NEXT to continue.</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twoCellAnchor>
    <xdr:from>
      <xdr:col>5</xdr:col>
      <xdr:colOff>295275</xdr:colOff>
      <xdr:row>1</xdr:row>
      <xdr:rowOff>0</xdr:rowOff>
    </xdr:from>
    <xdr:to>
      <xdr:col>6</xdr:col>
      <xdr:colOff>257175</xdr:colOff>
      <xdr:row>2</xdr:row>
      <xdr:rowOff>0</xdr:rowOff>
    </xdr:to>
    <xdr:sp macro="[0]!Button3_Click">
      <xdr:nvSpPr>
        <xdr:cNvPr id="3" name="Rectangle 63"/>
        <xdr:cNvSpPr>
          <a:spLocks/>
        </xdr:cNvSpPr>
      </xdr:nvSpPr>
      <xdr:spPr>
        <a:xfrm>
          <a:off x="3781425" y="190500"/>
          <a:ext cx="69532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6</xdr:col>
      <xdr:colOff>314325</xdr:colOff>
      <xdr:row>1</xdr:row>
      <xdr:rowOff>0</xdr:rowOff>
    </xdr:from>
    <xdr:to>
      <xdr:col>7</xdr:col>
      <xdr:colOff>676275</xdr:colOff>
      <xdr:row>2</xdr:row>
      <xdr:rowOff>0</xdr:rowOff>
    </xdr:to>
    <xdr:sp macro="[0]!Button5_Click">
      <xdr:nvSpPr>
        <xdr:cNvPr id="4" name="Rectangle 64"/>
        <xdr:cNvSpPr>
          <a:spLocks/>
        </xdr:cNvSpPr>
      </xdr:nvSpPr>
      <xdr:spPr>
        <a:xfrm>
          <a:off x="4533900" y="190500"/>
          <a:ext cx="1047750"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xdr:row>
      <xdr:rowOff>0</xdr:rowOff>
    </xdr:from>
    <xdr:to>
      <xdr:col>6</xdr:col>
      <xdr:colOff>238125</xdr:colOff>
      <xdr:row>2</xdr:row>
      <xdr:rowOff>0</xdr:rowOff>
    </xdr:to>
    <xdr:sp macro="[0]!Button4_Click">
      <xdr:nvSpPr>
        <xdr:cNvPr id="1" name="Rectangle 61"/>
        <xdr:cNvSpPr>
          <a:spLocks/>
        </xdr:cNvSpPr>
      </xdr:nvSpPr>
      <xdr:spPr>
        <a:xfrm>
          <a:off x="3314700" y="190500"/>
          <a:ext cx="704850"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6</xdr:col>
      <xdr:colOff>314325</xdr:colOff>
      <xdr:row>1</xdr:row>
      <xdr:rowOff>0</xdr:rowOff>
    </xdr:from>
    <xdr:to>
      <xdr:col>7</xdr:col>
      <xdr:colOff>676275</xdr:colOff>
      <xdr:row>2</xdr:row>
      <xdr:rowOff>0</xdr:rowOff>
    </xdr:to>
    <xdr:sp macro="[0]!Button6_Click">
      <xdr:nvSpPr>
        <xdr:cNvPr id="2" name="Rectangle 62"/>
        <xdr:cNvSpPr>
          <a:spLocks/>
        </xdr:cNvSpPr>
      </xdr:nvSpPr>
      <xdr:spPr>
        <a:xfrm>
          <a:off x="4095750" y="190500"/>
          <a:ext cx="1190625"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171450</xdr:colOff>
      <xdr:row>2</xdr:row>
      <xdr:rowOff>114300</xdr:rowOff>
    </xdr:from>
    <xdr:to>
      <xdr:col>10</xdr:col>
      <xdr:colOff>85725</xdr:colOff>
      <xdr:row>4</xdr:row>
      <xdr:rowOff>142875</xdr:rowOff>
    </xdr:to>
    <xdr:sp>
      <xdr:nvSpPr>
        <xdr:cNvPr id="3" name="TextBox 1"/>
        <xdr:cNvSpPr txBox="1">
          <a:spLocks noChangeArrowheads="1"/>
        </xdr:cNvSpPr>
      </xdr:nvSpPr>
      <xdr:spPr>
        <a:xfrm>
          <a:off x="171450" y="704850"/>
          <a:ext cx="6581775" cy="409575"/>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4.</a:t>
          </a:r>
          <a:r>
            <a:rPr lang="en-US" cap="none" sz="1000" b="0" i="0" u="none" baseline="0">
              <a:solidFill>
                <a:srgbClr val="000000"/>
              </a:solidFill>
              <a:latin typeface="Arial"/>
              <a:ea typeface="Arial"/>
              <a:cs typeface="Arial"/>
            </a:rPr>
            <a:t> Fill in the white boxes below (the yellow boxes will be completed as you move through the process). Then press NEXT to continue.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1</xdr:row>
      <xdr:rowOff>0</xdr:rowOff>
    </xdr:from>
    <xdr:to>
      <xdr:col>4</xdr:col>
      <xdr:colOff>428625</xdr:colOff>
      <xdr:row>2</xdr:row>
      <xdr:rowOff>0</xdr:rowOff>
    </xdr:to>
    <xdr:sp macro="[0]!Button5_Click">
      <xdr:nvSpPr>
        <xdr:cNvPr id="1" name="Rectangle 61"/>
        <xdr:cNvSpPr>
          <a:spLocks/>
        </xdr:cNvSpPr>
      </xdr:nvSpPr>
      <xdr:spPr>
        <a:xfrm>
          <a:off x="2809875" y="190500"/>
          <a:ext cx="723900"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4</xdr:col>
      <xdr:colOff>495300</xdr:colOff>
      <xdr:row>1</xdr:row>
      <xdr:rowOff>0</xdr:rowOff>
    </xdr:from>
    <xdr:to>
      <xdr:col>5</xdr:col>
      <xdr:colOff>714375</xdr:colOff>
      <xdr:row>2</xdr:row>
      <xdr:rowOff>0</xdr:rowOff>
    </xdr:to>
    <xdr:sp macro="[0]!Button7_Click">
      <xdr:nvSpPr>
        <xdr:cNvPr id="2" name="Rectangle 62"/>
        <xdr:cNvSpPr>
          <a:spLocks/>
        </xdr:cNvSpPr>
      </xdr:nvSpPr>
      <xdr:spPr>
        <a:xfrm>
          <a:off x="3600450" y="190500"/>
          <a:ext cx="904875"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133350</xdr:colOff>
      <xdr:row>2</xdr:row>
      <xdr:rowOff>104775</xdr:rowOff>
    </xdr:from>
    <xdr:to>
      <xdr:col>7</xdr:col>
      <xdr:colOff>457200</xdr:colOff>
      <xdr:row>5</xdr:row>
      <xdr:rowOff>38100</xdr:rowOff>
    </xdr:to>
    <xdr:sp>
      <xdr:nvSpPr>
        <xdr:cNvPr id="3" name="TextBox 1"/>
        <xdr:cNvSpPr txBox="1">
          <a:spLocks noChangeArrowheads="1"/>
        </xdr:cNvSpPr>
      </xdr:nvSpPr>
      <xdr:spPr>
        <a:xfrm>
          <a:off x="133350" y="695325"/>
          <a:ext cx="5486400" cy="504825"/>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5. </a:t>
          </a:r>
          <a:r>
            <a:rPr lang="en-US" cap="none" sz="1000" b="0" i="0" u="none" baseline="0">
              <a:solidFill>
                <a:srgbClr val="000000"/>
              </a:solidFill>
              <a:latin typeface="Arial"/>
              <a:ea typeface="Arial"/>
              <a:cs typeface="Arial"/>
            </a:rPr>
            <a:t>Fill in the white boxes below (the yellow boxes will be completed as you move through the process). Then press NEXT to continue.</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xdr:row>
      <xdr:rowOff>0</xdr:rowOff>
    </xdr:from>
    <xdr:to>
      <xdr:col>6</xdr:col>
      <xdr:colOff>276225</xdr:colOff>
      <xdr:row>2</xdr:row>
      <xdr:rowOff>0</xdr:rowOff>
    </xdr:to>
    <xdr:sp macro="[0]!Button6_Click">
      <xdr:nvSpPr>
        <xdr:cNvPr id="1" name="Rectangle 19"/>
        <xdr:cNvSpPr>
          <a:spLocks/>
        </xdr:cNvSpPr>
      </xdr:nvSpPr>
      <xdr:spPr>
        <a:xfrm>
          <a:off x="3343275" y="190500"/>
          <a:ext cx="77152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6</xdr:col>
      <xdr:colOff>323850</xdr:colOff>
      <xdr:row>1</xdr:row>
      <xdr:rowOff>0</xdr:rowOff>
    </xdr:from>
    <xdr:to>
      <xdr:col>8</xdr:col>
      <xdr:colOff>47625</xdr:colOff>
      <xdr:row>2</xdr:row>
      <xdr:rowOff>0</xdr:rowOff>
    </xdr:to>
    <xdr:sp macro="[0]!Button8_Click">
      <xdr:nvSpPr>
        <xdr:cNvPr id="2" name="Rectangle 20"/>
        <xdr:cNvSpPr>
          <a:spLocks/>
        </xdr:cNvSpPr>
      </xdr:nvSpPr>
      <xdr:spPr>
        <a:xfrm>
          <a:off x="4162425" y="190500"/>
          <a:ext cx="914400"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133350</xdr:colOff>
      <xdr:row>2</xdr:row>
      <xdr:rowOff>85725</xdr:rowOff>
    </xdr:from>
    <xdr:to>
      <xdr:col>8</xdr:col>
      <xdr:colOff>590550</xdr:colOff>
      <xdr:row>4</xdr:row>
      <xdr:rowOff>104775</xdr:rowOff>
    </xdr:to>
    <xdr:sp>
      <xdr:nvSpPr>
        <xdr:cNvPr id="3" name="TextBox 1"/>
        <xdr:cNvSpPr txBox="1">
          <a:spLocks noChangeArrowheads="1"/>
        </xdr:cNvSpPr>
      </xdr:nvSpPr>
      <xdr:spPr>
        <a:xfrm>
          <a:off x="133350" y="676275"/>
          <a:ext cx="5486400" cy="400050"/>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6. </a:t>
          </a:r>
          <a:r>
            <a:rPr lang="en-US" cap="none" sz="1000" b="0" i="0" u="none" baseline="0">
              <a:solidFill>
                <a:srgbClr val="000000"/>
              </a:solidFill>
              <a:latin typeface="Arial"/>
              <a:ea typeface="Arial"/>
              <a:cs typeface="Arial"/>
            </a:rPr>
            <a:t>Fill in the white boxes below (the yellow boxes will be completed as you move through the process). Then press NEXT to continue.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9525</xdr:rowOff>
    </xdr:from>
    <xdr:to>
      <xdr:col>5</xdr:col>
      <xdr:colOff>666750</xdr:colOff>
      <xdr:row>2</xdr:row>
      <xdr:rowOff>9525</xdr:rowOff>
    </xdr:to>
    <xdr:sp macro="[0]!Button7_Click">
      <xdr:nvSpPr>
        <xdr:cNvPr id="1" name="Rectangle 17"/>
        <xdr:cNvSpPr>
          <a:spLocks/>
        </xdr:cNvSpPr>
      </xdr:nvSpPr>
      <xdr:spPr>
        <a:xfrm>
          <a:off x="3762375" y="200025"/>
          <a:ext cx="666750"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5</xdr:col>
      <xdr:colOff>752475</xdr:colOff>
      <xdr:row>1</xdr:row>
      <xdr:rowOff>9525</xdr:rowOff>
    </xdr:from>
    <xdr:to>
      <xdr:col>7</xdr:col>
      <xdr:colOff>123825</xdr:colOff>
      <xdr:row>2</xdr:row>
      <xdr:rowOff>9525</xdr:rowOff>
    </xdr:to>
    <xdr:sp macro="[0]!Button9_Click">
      <xdr:nvSpPr>
        <xdr:cNvPr id="2" name="Rectangle 18"/>
        <xdr:cNvSpPr>
          <a:spLocks/>
        </xdr:cNvSpPr>
      </xdr:nvSpPr>
      <xdr:spPr>
        <a:xfrm>
          <a:off x="4514850" y="200025"/>
          <a:ext cx="857250"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133350</xdr:colOff>
      <xdr:row>2</xdr:row>
      <xdr:rowOff>114300</xdr:rowOff>
    </xdr:from>
    <xdr:to>
      <xdr:col>8</xdr:col>
      <xdr:colOff>638175</xdr:colOff>
      <xdr:row>5</xdr:row>
      <xdr:rowOff>47625</xdr:rowOff>
    </xdr:to>
    <xdr:sp>
      <xdr:nvSpPr>
        <xdr:cNvPr id="3" name="TextBox 1"/>
        <xdr:cNvSpPr txBox="1">
          <a:spLocks noChangeArrowheads="1"/>
        </xdr:cNvSpPr>
      </xdr:nvSpPr>
      <xdr:spPr>
        <a:xfrm>
          <a:off x="133350" y="704850"/>
          <a:ext cx="6429375" cy="504825"/>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7. </a:t>
          </a:r>
          <a:r>
            <a:rPr lang="en-US" cap="none" sz="1000" b="0" i="0" u="none" baseline="0">
              <a:solidFill>
                <a:srgbClr val="000000"/>
              </a:solidFill>
              <a:latin typeface="Arial"/>
              <a:ea typeface="Arial"/>
              <a:cs typeface="Arial"/>
            </a:rPr>
            <a:t>Fill in the white boxes below (the yellow boxes will be completed as you move through the process). Then press NEXT to continue.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73</xdr:row>
      <xdr:rowOff>9525</xdr:rowOff>
    </xdr:from>
    <xdr:to>
      <xdr:col>7</xdr:col>
      <xdr:colOff>542925</xdr:colOff>
      <xdr:row>91</xdr:row>
      <xdr:rowOff>142875</xdr:rowOff>
    </xdr:to>
    <xdr:sp>
      <xdr:nvSpPr>
        <xdr:cNvPr id="1" name="Rectangle 1"/>
        <xdr:cNvSpPr>
          <a:spLocks/>
        </xdr:cNvSpPr>
      </xdr:nvSpPr>
      <xdr:spPr>
        <a:xfrm>
          <a:off x="876300" y="12211050"/>
          <a:ext cx="3971925" cy="37909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1</xdr:col>
      <xdr:colOff>447675</xdr:colOff>
      <xdr:row>81</xdr:row>
      <xdr:rowOff>47625</xdr:rowOff>
    </xdr:from>
    <xdr:to>
      <xdr:col>1</xdr:col>
      <xdr:colOff>647700</xdr:colOff>
      <xdr:row>85</xdr:row>
      <xdr:rowOff>152400</xdr:rowOff>
    </xdr:to>
    <xdr:sp>
      <xdr:nvSpPr>
        <xdr:cNvPr id="2" name="Text Box 2"/>
        <xdr:cNvSpPr txBox="1">
          <a:spLocks noChangeArrowheads="1"/>
        </xdr:cNvSpPr>
      </xdr:nvSpPr>
      <xdr:spPr>
        <a:xfrm>
          <a:off x="628650" y="14077950"/>
          <a:ext cx="200025" cy="714375"/>
        </a:xfrm>
        <a:prstGeom prst="rect">
          <a:avLst/>
        </a:prstGeom>
        <a:noFill/>
        <a:ln w="9525" cmpd="sng">
          <a:noFill/>
        </a:ln>
      </xdr:spPr>
      <xdr:txBody>
        <a:bodyPr vertOverflow="clip" wrap="square" lIns="27432" tIns="18288" rIns="0" bIns="0" vert="vert270"/>
        <a:p>
          <a:pPr algn="l">
            <a:defRPr/>
          </a:pPr>
          <a:r>
            <a:rPr lang="en-US" cap="none" sz="1000" b="0" i="0" u="none" baseline="0">
              <a:solidFill>
                <a:srgbClr val="000000"/>
              </a:solidFill>
              <a:latin typeface="Courier"/>
              <a:ea typeface="Courier"/>
              <a:cs typeface="Courier"/>
            </a:rPr>
            <a:t>3,614 ft</a:t>
          </a:r>
        </a:p>
      </xdr:txBody>
    </xdr:sp>
    <xdr:clientData/>
  </xdr:twoCellAnchor>
  <xdr:twoCellAnchor>
    <xdr:from>
      <xdr:col>4</xdr:col>
      <xdr:colOff>304800</xdr:colOff>
      <xdr:row>92</xdr:row>
      <xdr:rowOff>0</xdr:rowOff>
    </xdr:from>
    <xdr:to>
      <xdr:col>5</xdr:col>
      <xdr:colOff>314325</xdr:colOff>
      <xdr:row>93</xdr:row>
      <xdr:rowOff>47625</xdr:rowOff>
    </xdr:to>
    <xdr:sp>
      <xdr:nvSpPr>
        <xdr:cNvPr id="3" name="Text Box 3"/>
        <xdr:cNvSpPr txBox="1">
          <a:spLocks noChangeArrowheads="1"/>
        </xdr:cNvSpPr>
      </xdr:nvSpPr>
      <xdr:spPr>
        <a:xfrm>
          <a:off x="2543175" y="16011525"/>
          <a:ext cx="6953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3,614 ft</a:t>
          </a:r>
        </a:p>
      </xdr:txBody>
    </xdr:sp>
    <xdr:clientData/>
  </xdr:twoCellAnchor>
  <xdr:twoCellAnchor>
    <xdr:from>
      <xdr:col>4</xdr:col>
      <xdr:colOff>619125</xdr:colOff>
      <xdr:row>73</xdr:row>
      <xdr:rowOff>9525</xdr:rowOff>
    </xdr:from>
    <xdr:to>
      <xdr:col>4</xdr:col>
      <xdr:colOff>619125</xdr:colOff>
      <xdr:row>73</xdr:row>
      <xdr:rowOff>9525</xdr:rowOff>
    </xdr:to>
    <xdr:sp>
      <xdr:nvSpPr>
        <xdr:cNvPr id="4" name="Line 4"/>
        <xdr:cNvSpPr>
          <a:spLocks/>
        </xdr:cNvSpPr>
      </xdr:nvSpPr>
      <xdr:spPr>
        <a:xfrm>
          <a:off x="2857500" y="12211050"/>
          <a:ext cx="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676275</xdr:colOff>
      <xdr:row>73</xdr:row>
      <xdr:rowOff>9525</xdr:rowOff>
    </xdr:from>
    <xdr:to>
      <xdr:col>5</xdr:col>
      <xdr:colOff>0</xdr:colOff>
      <xdr:row>91</xdr:row>
      <xdr:rowOff>142875</xdr:rowOff>
    </xdr:to>
    <xdr:sp>
      <xdr:nvSpPr>
        <xdr:cNvPr id="5" name="Line 5"/>
        <xdr:cNvSpPr>
          <a:spLocks/>
        </xdr:cNvSpPr>
      </xdr:nvSpPr>
      <xdr:spPr>
        <a:xfrm flipH="1">
          <a:off x="2914650" y="12211050"/>
          <a:ext cx="9525" cy="379095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28575</xdr:colOff>
      <xdr:row>77</xdr:row>
      <xdr:rowOff>142875</xdr:rowOff>
    </xdr:from>
    <xdr:to>
      <xdr:col>2</xdr:col>
      <xdr:colOff>28575</xdr:colOff>
      <xdr:row>77</xdr:row>
      <xdr:rowOff>142875</xdr:rowOff>
    </xdr:to>
    <xdr:sp>
      <xdr:nvSpPr>
        <xdr:cNvPr id="6" name="Line 7"/>
        <xdr:cNvSpPr>
          <a:spLocks/>
        </xdr:cNvSpPr>
      </xdr:nvSpPr>
      <xdr:spPr>
        <a:xfrm>
          <a:off x="895350" y="13258800"/>
          <a:ext cx="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85725</xdr:colOff>
      <xdr:row>73</xdr:row>
      <xdr:rowOff>9525</xdr:rowOff>
    </xdr:from>
    <xdr:to>
      <xdr:col>5</xdr:col>
      <xdr:colOff>85725</xdr:colOff>
      <xdr:row>85</xdr:row>
      <xdr:rowOff>142875</xdr:rowOff>
    </xdr:to>
    <xdr:sp>
      <xdr:nvSpPr>
        <xdr:cNvPr id="7" name="Line 9"/>
        <xdr:cNvSpPr>
          <a:spLocks/>
        </xdr:cNvSpPr>
      </xdr:nvSpPr>
      <xdr:spPr>
        <a:xfrm flipH="1">
          <a:off x="3009900" y="12211050"/>
          <a:ext cx="0" cy="257175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47625</xdr:colOff>
      <xdr:row>85</xdr:row>
      <xdr:rowOff>142875</xdr:rowOff>
    </xdr:from>
    <xdr:to>
      <xdr:col>7</xdr:col>
      <xdr:colOff>542925</xdr:colOff>
      <xdr:row>85</xdr:row>
      <xdr:rowOff>142875</xdr:rowOff>
    </xdr:to>
    <xdr:sp>
      <xdr:nvSpPr>
        <xdr:cNvPr id="8" name="Line 10"/>
        <xdr:cNvSpPr>
          <a:spLocks/>
        </xdr:cNvSpPr>
      </xdr:nvSpPr>
      <xdr:spPr>
        <a:xfrm>
          <a:off x="914400" y="14782800"/>
          <a:ext cx="39338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38100</xdr:colOff>
      <xdr:row>80</xdr:row>
      <xdr:rowOff>9525</xdr:rowOff>
    </xdr:from>
    <xdr:to>
      <xdr:col>4</xdr:col>
      <xdr:colOff>657225</xdr:colOff>
      <xdr:row>80</xdr:row>
      <xdr:rowOff>9525</xdr:rowOff>
    </xdr:to>
    <xdr:sp>
      <xdr:nvSpPr>
        <xdr:cNvPr id="9" name="Line 11"/>
        <xdr:cNvSpPr>
          <a:spLocks/>
        </xdr:cNvSpPr>
      </xdr:nvSpPr>
      <xdr:spPr>
        <a:xfrm>
          <a:off x="904875" y="13887450"/>
          <a:ext cx="19907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104775</xdr:colOff>
      <xdr:row>80</xdr:row>
      <xdr:rowOff>9525</xdr:rowOff>
    </xdr:from>
    <xdr:to>
      <xdr:col>7</xdr:col>
      <xdr:colOff>542925</xdr:colOff>
      <xdr:row>80</xdr:row>
      <xdr:rowOff>9525</xdr:rowOff>
    </xdr:to>
    <xdr:sp>
      <xdr:nvSpPr>
        <xdr:cNvPr id="10" name="Line 12"/>
        <xdr:cNvSpPr>
          <a:spLocks/>
        </xdr:cNvSpPr>
      </xdr:nvSpPr>
      <xdr:spPr>
        <a:xfrm>
          <a:off x="3028950" y="13887450"/>
          <a:ext cx="18192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3</xdr:col>
      <xdr:colOff>0</xdr:colOff>
      <xdr:row>79</xdr:row>
      <xdr:rowOff>9525</xdr:rowOff>
    </xdr:from>
    <xdr:to>
      <xdr:col>4</xdr:col>
      <xdr:colOff>9525</xdr:colOff>
      <xdr:row>81</xdr:row>
      <xdr:rowOff>47625</xdr:rowOff>
    </xdr:to>
    <xdr:sp>
      <xdr:nvSpPr>
        <xdr:cNvPr id="11" name="Text Box 13"/>
        <xdr:cNvSpPr txBox="1">
          <a:spLocks noChangeArrowheads="1"/>
        </xdr:cNvSpPr>
      </xdr:nvSpPr>
      <xdr:spPr>
        <a:xfrm>
          <a:off x="1552575" y="13582650"/>
          <a:ext cx="695325" cy="4953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1,807 ft</a:t>
          </a:r>
        </a:p>
      </xdr:txBody>
    </xdr:sp>
    <xdr:clientData/>
  </xdr:twoCellAnchor>
  <xdr:twoCellAnchor>
    <xdr:from>
      <xdr:col>6</xdr:col>
      <xdr:colOff>9525</xdr:colOff>
      <xdr:row>84</xdr:row>
      <xdr:rowOff>76200</xdr:rowOff>
    </xdr:from>
    <xdr:to>
      <xdr:col>7</xdr:col>
      <xdr:colOff>38100</xdr:colOff>
      <xdr:row>86</xdr:row>
      <xdr:rowOff>104775</xdr:rowOff>
    </xdr:to>
    <xdr:sp>
      <xdr:nvSpPr>
        <xdr:cNvPr id="12" name="Text Box 14"/>
        <xdr:cNvSpPr txBox="1">
          <a:spLocks noChangeArrowheads="1"/>
        </xdr:cNvSpPr>
      </xdr:nvSpPr>
      <xdr:spPr>
        <a:xfrm>
          <a:off x="3629025" y="14563725"/>
          <a:ext cx="714375" cy="3333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1,807 ft</a:t>
          </a:r>
        </a:p>
      </xdr:txBody>
    </xdr:sp>
    <xdr:clientData/>
  </xdr:twoCellAnchor>
  <xdr:twoCellAnchor>
    <xdr:from>
      <xdr:col>6</xdr:col>
      <xdr:colOff>47625</xdr:colOff>
      <xdr:row>79</xdr:row>
      <xdr:rowOff>47625</xdr:rowOff>
    </xdr:from>
    <xdr:to>
      <xdr:col>7</xdr:col>
      <xdr:colOff>66675</xdr:colOff>
      <xdr:row>81</xdr:row>
      <xdr:rowOff>76200</xdr:rowOff>
    </xdr:to>
    <xdr:sp>
      <xdr:nvSpPr>
        <xdr:cNvPr id="13" name="Text Box 15"/>
        <xdr:cNvSpPr txBox="1">
          <a:spLocks noChangeArrowheads="1"/>
        </xdr:cNvSpPr>
      </xdr:nvSpPr>
      <xdr:spPr>
        <a:xfrm>
          <a:off x="3667125" y="13620750"/>
          <a:ext cx="704850" cy="485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1,807 ft</a:t>
          </a:r>
        </a:p>
      </xdr:txBody>
    </xdr:sp>
    <xdr:clientData/>
  </xdr:twoCellAnchor>
  <xdr:twoCellAnchor>
    <xdr:from>
      <xdr:col>3</xdr:col>
      <xdr:colOff>66675</xdr:colOff>
      <xdr:row>85</xdr:row>
      <xdr:rowOff>0</xdr:rowOff>
    </xdr:from>
    <xdr:to>
      <xdr:col>4</xdr:col>
      <xdr:colOff>85725</xdr:colOff>
      <xdr:row>87</xdr:row>
      <xdr:rowOff>28575</xdr:rowOff>
    </xdr:to>
    <xdr:sp>
      <xdr:nvSpPr>
        <xdr:cNvPr id="14" name="Text Box 16"/>
        <xdr:cNvSpPr txBox="1">
          <a:spLocks noChangeArrowheads="1"/>
        </xdr:cNvSpPr>
      </xdr:nvSpPr>
      <xdr:spPr>
        <a:xfrm>
          <a:off x="1619250" y="14639925"/>
          <a:ext cx="704850" cy="3333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1,807 ft</a:t>
          </a:r>
        </a:p>
      </xdr:txBody>
    </xdr:sp>
    <xdr:clientData/>
  </xdr:twoCellAnchor>
  <xdr:twoCellAnchor>
    <xdr:from>
      <xdr:col>5</xdr:col>
      <xdr:colOff>219075</xdr:colOff>
      <xdr:row>75</xdr:row>
      <xdr:rowOff>38100</xdr:rowOff>
    </xdr:from>
    <xdr:to>
      <xdr:col>5</xdr:col>
      <xdr:colOff>457200</xdr:colOff>
      <xdr:row>79</xdr:row>
      <xdr:rowOff>104775</xdr:rowOff>
    </xdr:to>
    <xdr:sp>
      <xdr:nvSpPr>
        <xdr:cNvPr id="15" name="Text Box 17"/>
        <xdr:cNvSpPr txBox="1">
          <a:spLocks noChangeArrowheads="1"/>
        </xdr:cNvSpPr>
      </xdr:nvSpPr>
      <xdr:spPr>
        <a:xfrm>
          <a:off x="3143250" y="12696825"/>
          <a:ext cx="238125" cy="981075"/>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latin typeface="Courier"/>
              <a:ea typeface="Courier"/>
              <a:cs typeface="Courier"/>
            </a:rPr>
            <a:t>2,408 ft</a:t>
          </a:r>
        </a:p>
      </xdr:txBody>
    </xdr:sp>
    <xdr:clientData/>
  </xdr:twoCellAnchor>
  <xdr:twoCellAnchor>
    <xdr:from>
      <xdr:col>4</xdr:col>
      <xdr:colOff>638175</xdr:colOff>
      <xdr:row>73</xdr:row>
      <xdr:rowOff>28575</xdr:rowOff>
    </xdr:from>
    <xdr:to>
      <xdr:col>5</xdr:col>
      <xdr:colOff>28575</xdr:colOff>
      <xdr:row>74</xdr:row>
      <xdr:rowOff>47625</xdr:rowOff>
    </xdr:to>
    <xdr:sp>
      <xdr:nvSpPr>
        <xdr:cNvPr id="16" name="Rectangle 20"/>
        <xdr:cNvSpPr>
          <a:spLocks/>
        </xdr:cNvSpPr>
      </xdr:nvSpPr>
      <xdr:spPr>
        <a:xfrm>
          <a:off x="2876550" y="12230100"/>
          <a:ext cx="76200" cy="323850"/>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104775</xdr:colOff>
      <xdr:row>73</xdr:row>
      <xdr:rowOff>38100</xdr:rowOff>
    </xdr:from>
    <xdr:to>
      <xdr:col>5</xdr:col>
      <xdr:colOff>180975</xdr:colOff>
      <xdr:row>74</xdr:row>
      <xdr:rowOff>47625</xdr:rowOff>
    </xdr:to>
    <xdr:sp>
      <xdr:nvSpPr>
        <xdr:cNvPr id="17" name="Rectangle 21"/>
        <xdr:cNvSpPr>
          <a:spLocks/>
        </xdr:cNvSpPr>
      </xdr:nvSpPr>
      <xdr:spPr>
        <a:xfrm>
          <a:off x="3028950" y="12239625"/>
          <a:ext cx="76200" cy="314325"/>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85725</xdr:colOff>
      <xdr:row>80</xdr:row>
      <xdr:rowOff>9525</xdr:rowOff>
    </xdr:from>
    <xdr:to>
      <xdr:col>5</xdr:col>
      <xdr:colOff>152400</xdr:colOff>
      <xdr:row>81</xdr:row>
      <xdr:rowOff>28575</xdr:rowOff>
    </xdr:to>
    <xdr:sp>
      <xdr:nvSpPr>
        <xdr:cNvPr id="18" name="Rectangle 22"/>
        <xdr:cNvSpPr>
          <a:spLocks/>
        </xdr:cNvSpPr>
      </xdr:nvSpPr>
      <xdr:spPr>
        <a:xfrm>
          <a:off x="3009900" y="13887450"/>
          <a:ext cx="66675" cy="171450"/>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600075</xdr:colOff>
      <xdr:row>86</xdr:row>
      <xdr:rowOff>0</xdr:rowOff>
    </xdr:from>
    <xdr:to>
      <xdr:col>4</xdr:col>
      <xdr:colOff>676275</xdr:colOff>
      <xdr:row>87</xdr:row>
      <xdr:rowOff>28575</xdr:rowOff>
    </xdr:to>
    <xdr:sp>
      <xdr:nvSpPr>
        <xdr:cNvPr id="19" name="Rectangle 23"/>
        <xdr:cNvSpPr>
          <a:spLocks/>
        </xdr:cNvSpPr>
      </xdr:nvSpPr>
      <xdr:spPr>
        <a:xfrm>
          <a:off x="2838450" y="14792325"/>
          <a:ext cx="76200" cy="180975"/>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619125</xdr:colOff>
      <xdr:row>80</xdr:row>
      <xdr:rowOff>0</xdr:rowOff>
    </xdr:from>
    <xdr:to>
      <xdr:col>5</xdr:col>
      <xdr:colOff>9525</xdr:colOff>
      <xdr:row>81</xdr:row>
      <xdr:rowOff>9525</xdr:rowOff>
    </xdr:to>
    <xdr:sp>
      <xdr:nvSpPr>
        <xdr:cNvPr id="20" name="Rectangle 24"/>
        <xdr:cNvSpPr>
          <a:spLocks/>
        </xdr:cNvSpPr>
      </xdr:nvSpPr>
      <xdr:spPr>
        <a:xfrm>
          <a:off x="2857500" y="13877925"/>
          <a:ext cx="76200" cy="161925"/>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9525</xdr:colOff>
      <xdr:row>86</xdr:row>
      <xdr:rowOff>0</xdr:rowOff>
    </xdr:from>
    <xdr:to>
      <xdr:col>5</xdr:col>
      <xdr:colOff>123825</xdr:colOff>
      <xdr:row>86</xdr:row>
      <xdr:rowOff>76200</xdr:rowOff>
    </xdr:to>
    <xdr:sp>
      <xdr:nvSpPr>
        <xdr:cNvPr id="21" name="Rectangle 25"/>
        <xdr:cNvSpPr>
          <a:spLocks/>
        </xdr:cNvSpPr>
      </xdr:nvSpPr>
      <xdr:spPr>
        <a:xfrm>
          <a:off x="2933700" y="14792325"/>
          <a:ext cx="114300" cy="76200"/>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9</xdr:col>
      <xdr:colOff>476250</xdr:colOff>
      <xdr:row>82</xdr:row>
      <xdr:rowOff>142875</xdr:rowOff>
    </xdr:from>
    <xdr:to>
      <xdr:col>9</xdr:col>
      <xdr:colOff>552450</xdr:colOff>
      <xdr:row>84</xdr:row>
      <xdr:rowOff>9525</xdr:rowOff>
    </xdr:to>
    <xdr:sp>
      <xdr:nvSpPr>
        <xdr:cNvPr id="22" name="Rectangle 26"/>
        <xdr:cNvSpPr>
          <a:spLocks/>
        </xdr:cNvSpPr>
      </xdr:nvSpPr>
      <xdr:spPr>
        <a:xfrm>
          <a:off x="5924550" y="14325600"/>
          <a:ext cx="76200" cy="171450"/>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200025</xdr:colOff>
      <xdr:row>74</xdr:row>
      <xdr:rowOff>104775</xdr:rowOff>
    </xdr:from>
    <xdr:to>
      <xdr:col>4</xdr:col>
      <xdr:colOff>333375</xdr:colOff>
      <xdr:row>75</xdr:row>
      <xdr:rowOff>28575</xdr:rowOff>
    </xdr:to>
    <xdr:sp>
      <xdr:nvSpPr>
        <xdr:cNvPr id="23" name="Oval 27"/>
        <xdr:cNvSpPr>
          <a:spLocks/>
        </xdr:cNvSpPr>
      </xdr:nvSpPr>
      <xdr:spPr>
        <a:xfrm>
          <a:off x="2438400" y="12611100"/>
          <a:ext cx="123825" cy="76200"/>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457200</xdr:colOff>
      <xdr:row>74</xdr:row>
      <xdr:rowOff>104775</xdr:rowOff>
    </xdr:from>
    <xdr:to>
      <xdr:col>5</xdr:col>
      <xdr:colOff>581025</xdr:colOff>
      <xdr:row>75</xdr:row>
      <xdr:rowOff>28575</xdr:rowOff>
    </xdr:to>
    <xdr:sp>
      <xdr:nvSpPr>
        <xdr:cNvPr id="24" name="Oval 28"/>
        <xdr:cNvSpPr>
          <a:spLocks/>
        </xdr:cNvSpPr>
      </xdr:nvSpPr>
      <xdr:spPr>
        <a:xfrm>
          <a:off x="3381375" y="12611100"/>
          <a:ext cx="123825" cy="76200"/>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104775</xdr:colOff>
      <xdr:row>81</xdr:row>
      <xdr:rowOff>76200</xdr:rowOff>
    </xdr:from>
    <xdr:to>
      <xdr:col>4</xdr:col>
      <xdr:colOff>238125</xdr:colOff>
      <xdr:row>82</xdr:row>
      <xdr:rowOff>9525</xdr:rowOff>
    </xdr:to>
    <xdr:sp>
      <xdr:nvSpPr>
        <xdr:cNvPr id="25" name="Oval 29"/>
        <xdr:cNvSpPr>
          <a:spLocks/>
        </xdr:cNvSpPr>
      </xdr:nvSpPr>
      <xdr:spPr>
        <a:xfrm>
          <a:off x="2343150" y="14106525"/>
          <a:ext cx="142875" cy="85725"/>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504825</xdr:colOff>
      <xdr:row>81</xdr:row>
      <xdr:rowOff>104775</xdr:rowOff>
    </xdr:from>
    <xdr:to>
      <xdr:col>5</xdr:col>
      <xdr:colOff>647700</xdr:colOff>
      <xdr:row>82</xdr:row>
      <xdr:rowOff>28575</xdr:rowOff>
    </xdr:to>
    <xdr:sp>
      <xdr:nvSpPr>
        <xdr:cNvPr id="26" name="Oval 30"/>
        <xdr:cNvSpPr>
          <a:spLocks/>
        </xdr:cNvSpPr>
      </xdr:nvSpPr>
      <xdr:spPr>
        <a:xfrm>
          <a:off x="3429000" y="14135100"/>
          <a:ext cx="142875" cy="76200"/>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3</xdr:col>
      <xdr:colOff>647700</xdr:colOff>
      <xdr:row>87</xdr:row>
      <xdr:rowOff>47625</xdr:rowOff>
    </xdr:from>
    <xdr:to>
      <xdr:col>4</xdr:col>
      <xdr:colOff>85725</xdr:colOff>
      <xdr:row>87</xdr:row>
      <xdr:rowOff>142875</xdr:rowOff>
    </xdr:to>
    <xdr:sp>
      <xdr:nvSpPr>
        <xdr:cNvPr id="27" name="Oval 31"/>
        <xdr:cNvSpPr>
          <a:spLocks/>
        </xdr:cNvSpPr>
      </xdr:nvSpPr>
      <xdr:spPr>
        <a:xfrm>
          <a:off x="2200275" y="14992350"/>
          <a:ext cx="123825" cy="85725"/>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352425</xdr:colOff>
      <xdr:row>87</xdr:row>
      <xdr:rowOff>38100</xdr:rowOff>
    </xdr:from>
    <xdr:to>
      <xdr:col>5</xdr:col>
      <xdr:colOff>495300</xdr:colOff>
      <xdr:row>87</xdr:row>
      <xdr:rowOff>114300</xdr:rowOff>
    </xdr:to>
    <xdr:sp>
      <xdr:nvSpPr>
        <xdr:cNvPr id="28" name="Oval 32"/>
        <xdr:cNvSpPr>
          <a:spLocks/>
        </xdr:cNvSpPr>
      </xdr:nvSpPr>
      <xdr:spPr>
        <a:xfrm>
          <a:off x="3276600" y="14982825"/>
          <a:ext cx="142875" cy="76200"/>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47625</xdr:colOff>
      <xdr:row>73</xdr:row>
      <xdr:rowOff>114300</xdr:rowOff>
    </xdr:from>
    <xdr:to>
      <xdr:col>4</xdr:col>
      <xdr:colOff>638175</xdr:colOff>
      <xdr:row>80</xdr:row>
      <xdr:rowOff>9525</xdr:rowOff>
    </xdr:to>
    <xdr:sp>
      <xdr:nvSpPr>
        <xdr:cNvPr id="29" name="Line 33"/>
        <xdr:cNvSpPr>
          <a:spLocks/>
        </xdr:cNvSpPr>
      </xdr:nvSpPr>
      <xdr:spPr>
        <a:xfrm flipH="1">
          <a:off x="914400" y="12315825"/>
          <a:ext cx="1962150" cy="1571625"/>
        </a:xfrm>
        <a:prstGeom prst="line">
          <a:avLst/>
        </a:prstGeom>
        <a:noFill/>
        <a:ln w="9525" cmpd="sng">
          <a:solidFill>
            <a:srgbClr val="000000"/>
          </a:solidFill>
          <a:prstDash val="dash"/>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200025</xdr:colOff>
      <xdr:row>73</xdr:row>
      <xdr:rowOff>104775</xdr:rowOff>
    </xdr:from>
    <xdr:to>
      <xdr:col>7</xdr:col>
      <xdr:colOff>542925</xdr:colOff>
      <xdr:row>80</xdr:row>
      <xdr:rowOff>9525</xdr:rowOff>
    </xdr:to>
    <xdr:sp>
      <xdr:nvSpPr>
        <xdr:cNvPr id="30" name="Line 34"/>
        <xdr:cNvSpPr>
          <a:spLocks/>
        </xdr:cNvSpPr>
      </xdr:nvSpPr>
      <xdr:spPr>
        <a:xfrm>
          <a:off x="3124200" y="12306300"/>
          <a:ext cx="1724025" cy="1581150"/>
        </a:xfrm>
        <a:prstGeom prst="line">
          <a:avLst/>
        </a:prstGeom>
        <a:noFill/>
        <a:ln w="9525" cmpd="sng">
          <a:solidFill>
            <a:srgbClr val="000000"/>
          </a:solidFill>
          <a:prstDash val="dash"/>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9525</xdr:colOff>
      <xdr:row>80</xdr:row>
      <xdr:rowOff>104775</xdr:rowOff>
    </xdr:from>
    <xdr:to>
      <xdr:col>4</xdr:col>
      <xdr:colOff>600075</xdr:colOff>
      <xdr:row>85</xdr:row>
      <xdr:rowOff>114300</xdr:rowOff>
    </xdr:to>
    <xdr:sp>
      <xdr:nvSpPr>
        <xdr:cNvPr id="31" name="Line 35"/>
        <xdr:cNvSpPr>
          <a:spLocks/>
        </xdr:cNvSpPr>
      </xdr:nvSpPr>
      <xdr:spPr>
        <a:xfrm flipH="1">
          <a:off x="876300" y="13982700"/>
          <a:ext cx="1962150" cy="771525"/>
        </a:xfrm>
        <a:prstGeom prst="line">
          <a:avLst/>
        </a:prstGeom>
        <a:noFill/>
        <a:ln w="9525" cmpd="sng">
          <a:solidFill>
            <a:srgbClr val="000000"/>
          </a:solidFill>
          <a:prstDash val="dash"/>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161925</xdr:colOff>
      <xdr:row>80</xdr:row>
      <xdr:rowOff>104775</xdr:rowOff>
    </xdr:from>
    <xdr:to>
      <xdr:col>7</xdr:col>
      <xdr:colOff>542925</xdr:colOff>
      <xdr:row>85</xdr:row>
      <xdr:rowOff>142875</xdr:rowOff>
    </xdr:to>
    <xdr:sp>
      <xdr:nvSpPr>
        <xdr:cNvPr id="32" name="Line 36"/>
        <xdr:cNvSpPr>
          <a:spLocks/>
        </xdr:cNvSpPr>
      </xdr:nvSpPr>
      <xdr:spPr>
        <a:xfrm>
          <a:off x="3086100" y="13982700"/>
          <a:ext cx="1762125" cy="80010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2</xdr:col>
      <xdr:colOff>9525</xdr:colOff>
      <xdr:row>86</xdr:row>
      <xdr:rowOff>0</xdr:rowOff>
    </xdr:from>
    <xdr:to>
      <xdr:col>4</xdr:col>
      <xdr:colOff>600075</xdr:colOff>
      <xdr:row>91</xdr:row>
      <xdr:rowOff>114300</xdr:rowOff>
    </xdr:to>
    <xdr:sp>
      <xdr:nvSpPr>
        <xdr:cNvPr id="33" name="Line 37"/>
        <xdr:cNvSpPr>
          <a:spLocks/>
        </xdr:cNvSpPr>
      </xdr:nvSpPr>
      <xdr:spPr>
        <a:xfrm flipH="1">
          <a:off x="876300" y="14792325"/>
          <a:ext cx="1962150" cy="1181100"/>
        </a:xfrm>
        <a:prstGeom prst="line">
          <a:avLst/>
        </a:prstGeom>
        <a:noFill/>
        <a:ln w="9525" cmpd="sng">
          <a:solidFill>
            <a:srgbClr val="000000"/>
          </a:solidFill>
          <a:prstDash val="dash"/>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5</xdr:col>
      <xdr:colOff>85725</xdr:colOff>
      <xdr:row>86</xdr:row>
      <xdr:rowOff>76200</xdr:rowOff>
    </xdr:from>
    <xdr:to>
      <xdr:col>7</xdr:col>
      <xdr:colOff>542925</xdr:colOff>
      <xdr:row>91</xdr:row>
      <xdr:rowOff>114300</xdr:rowOff>
    </xdr:to>
    <xdr:sp>
      <xdr:nvSpPr>
        <xdr:cNvPr id="34" name="Line 38"/>
        <xdr:cNvSpPr>
          <a:spLocks/>
        </xdr:cNvSpPr>
      </xdr:nvSpPr>
      <xdr:spPr>
        <a:xfrm>
          <a:off x="3009900" y="14868525"/>
          <a:ext cx="1838325" cy="1104900"/>
        </a:xfrm>
        <a:prstGeom prst="line">
          <a:avLst/>
        </a:prstGeom>
        <a:noFill/>
        <a:ln w="9525" cmpd="sng">
          <a:solidFill>
            <a:srgbClr val="000000"/>
          </a:solidFill>
          <a:prstDash val="dash"/>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9</xdr:col>
      <xdr:colOff>476250</xdr:colOff>
      <xdr:row>87</xdr:row>
      <xdr:rowOff>47625</xdr:rowOff>
    </xdr:from>
    <xdr:to>
      <xdr:col>9</xdr:col>
      <xdr:colOff>609600</xdr:colOff>
      <xdr:row>87</xdr:row>
      <xdr:rowOff>123825</xdr:rowOff>
    </xdr:to>
    <xdr:sp>
      <xdr:nvSpPr>
        <xdr:cNvPr id="35" name="Oval 39"/>
        <xdr:cNvSpPr>
          <a:spLocks/>
        </xdr:cNvSpPr>
      </xdr:nvSpPr>
      <xdr:spPr>
        <a:xfrm>
          <a:off x="5924550" y="14992350"/>
          <a:ext cx="142875" cy="76200"/>
        </a:xfrm>
        <a:prstGeom prst="ellipse">
          <a:avLst/>
        </a:prstGeom>
        <a:solidFill>
          <a:srgbClr val="0000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3</xdr:col>
      <xdr:colOff>76200</xdr:colOff>
      <xdr:row>95</xdr:row>
      <xdr:rowOff>114300</xdr:rowOff>
    </xdr:from>
    <xdr:to>
      <xdr:col>4</xdr:col>
      <xdr:colOff>295275</xdr:colOff>
      <xdr:row>101</xdr:row>
      <xdr:rowOff>9525</xdr:rowOff>
    </xdr:to>
    <xdr:sp>
      <xdr:nvSpPr>
        <xdr:cNvPr id="36" name="Rectangle 40"/>
        <xdr:cNvSpPr>
          <a:spLocks/>
        </xdr:cNvSpPr>
      </xdr:nvSpPr>
      <xdr:spPr>
        <a:xfrm>
          <a:off x="1628775" y="16583025"/>
          <a:ext cx="904875" cy="809625"/>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123825</xdr:colOff>
      <xdr:row>96</xdr:row>
      <xdr:rowOff>85725</xdr:rowOff>
    </xdr:from>
    <xdr:to>
      <xdr:col>4</xdr:col>
      <xdr:colOff>257175</xdr:colOff>
      <xdr:row>98</xdr:row>
      <xdr:rowOff>9525</xdr:rowOff>
    </xdr:to>
    <xdr:sp>
      <xdr:nvSpPr>
        <xdr:cNvPr id="37" name="Rectangle 46"/>
        <xdr:cNvSpPr>
          <a:spLocks/>
        </xdr:cNvSpPr>
      </xdr:nvSpPr>
      <xdr:spPr>
        <a:xfrm>
          <a:off x="2362200" y="16706850"/>
          <a:ext cx="123825" cy="228600"/>
        </a:xfrm>
        <a:prstGeom prst="rect">
          <a:avLst/>
        </a:prstGeom>
        <a:solidFill>
          <a:srgbClr val="00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3</xdr:col>
      <xdr:colOff>352425</xdr:colOff>
      <xdr:row>97</xdr:row>
      <xdr:rowOff>9525</xdr:rowOff>
    </xdr:from>
    <xdr:to>
      <xdr:col>3</xdr:col>
      <xdr:colOff>571500</xdr:colOff>
      <xdr:row>97</xdr:row>
      <xdr:rowOff>123825</xdr:rowOff>
    </xdr:to>
    <xdr:sp>
      <xdr:nvSpPr>
        <xdr:cNvPr id="38" name="Line 47"/>
        <xdr:cNvSpPr>
          <a:spLocks/>
        </xdr:cNvSpPr>
      </xdr:nvSpPr>
      <xdr:spPr>
        <a:xfrm flipV="1">
          <a:off x="1905000" y="16783050"/>
          <a:ext cx="219075" cy="11430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3</xdr:col>
      <xdr:colOff>333375</xdr:colOff>
      <xdr:row>97</xdr:row>
      <xdr:rowOff>142875</xdr:rowOff>
    </xdr:from>
    <xdr:to>
      <xdr:col>4</xdr:col>
      <xdr:colOff>9525</xdr:colOff>
      <xdr:row>97</xdr:row>
      <xdr:rowOff>142875</xdr:rowOff>
    </xdr:to>
    <xdr:sp>
      <xdr:nvSpPr>
        <xdr:cNvPr id="39" name="Line 48"/>
        <xdr:cNvSpPr>
          <a:spLocks/>
        </xdr:cNvSpPr>
      </xdr:nvSpPr>
      <xdr:spPr>
        <a:xfrm>
          <a:off x="1885950" y="16916400"/>
          <a:ext cx="36195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4</xdr:col>
      <xdr:colOff>409575</xdr:colOff>
      <xdr:row>73</xdr:row>
      <xdr:rowOff>152400</xdr:rowOff>
    </xdr:from>
    <xdr:to>
      <xdr:col>4</xdr:col>
      <xdr:colOff>561975</xdr:colOff>
      <xdr:row>74</xdr:row>
      <xdr:rowOff>114300</xdr:rowOff>
    </xdr:to>
    <xdr:sp>
      <xdr:nvSpPr>
        <xdr:cNvPr id="40" name="Text Box 51"/>
        <xdr:cNvSpPr txBox="1">
          <a:spLocks noChangeArrowheads="1"/>
        </xdr:cNvSpPr>
      </xdr:nvSpPr>
      <xdr:spPr>
        <a:xfrm>
          <a:off x="2647950" y="12353925"/>
          <a:ext cx="152400"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533400</xdr:colOff>
      <xdr:row>75</xdr:row>
      <xdr:rowOff>9525</xdr:rowOff>
    </xdr:from>
    <xdr:to>
      <xdr:col>4</xdr:col>
      <xdr:colOff>676275</xdr:colOff>
      <xdr:row>75</xdr:row>
      <xdr:rowOff>142875</xdr:rowOff>
    </xdr:to>
    <xdr:sp>
      <xdr:nvSpPr>
        <xdr:cNvPr id="41" name="Text Box 52"/>
        <xdr:cNvSpPr txBox="1">
          <a:spLocks noChangeArrowheads="1"/>
        </xdr:cNvSpPr>
      </xdr:nvSpPr>
      <xdr:spPr>
        <a:xfrm>
          <a:off x="2771775" y="12668250"/>
          <a:ext cx="142875" cy="123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390525</xdr:colOff>
      <xdr:row>79</xdr:row>
      <xdr:rowOff>104775</xdr:rowOff>
    </xdr:from>
    <xdr:to>
      <xdr:col>4</xdr:col>
      <xdr:colOff>533400</xdr:colOff>
      <xdr:row>80</xdr:row>
      <xdr:rowOff>66675</xdr:rowOff>
    </xdr:to>
    <xdr:sp>
      <xdr:nvSpPr>
        <xdr:cNvPr id="42" name="Text Box 53"/>
        <xdr:cNvSpPr txBox="1">
          <a:spLocks noChangeArrowheads="1"/>
        </xdr:cNvSpPr>
      </xdr:nvSpPr>
      <xdr:spPr>
        <a:xfrm>
          <a:off x="2628900" y="13677900"/>
          <a:ext cx="14287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276225</xdr:colOff>
      <xdr:row>73</xdr:row>
      <xdr:rowOff>104775</xdr:rowOff>
    </xdr:from>
    <xdr:to>
      <xdr:col>5</xdr:col>
      <xdr:colOff>419100</xdr:colOff>
      <xdr:row>74</xdr:row>
      <xdr:rowOff>66675</xdr:rowOff>
    </xdr:to>
    <xdr:sp>
      <xdr:nvSpPr>
        <xdr:cNvPr id="43" name="Text Box 54"/>
        <xdr:cNvSpPr txBox="1">
          <a:spLocks noChangeArrowheads="1"/>
        </xdr:cNvSpPr>
      </xdr:nvSpPr>
      <xdr:spPr>
        <a:xfrm>
          <a:off x="3200400" y="12306300"/>
          <a:ext cx="14287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238125</xdr:colOff>
      <xdr:row>79</xdr:row>
      <xdr:rowOff>104775</xdr:rowOff>
    </xdr:from>
    <xdr:to>
      <xdr:col>5</xdr:col>
      <xdr:colOff>381000</xdr:colOff>
      <xdr:row>80</xdr:row>
      <xdr:rowOff>66675</xdr:rowOff>
    </xdr:to>
    <xdr:sp>
      <xdr:nvSpPr>
        <xdr:cNvPr id="44" name="Text Box 55"/>
        <xdr:cNvSpPr txBox="1">
          <a:spLocks noChangeArrowheads="1"/>
        </xdr:cNvSpPr>
      </xdr:nvSpPr>
      <xdr:spPr>
        <a:xfrm>
          <a:off x="3162300" y="13677900"/>
          <a:ext cx="14287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219075</xdr:colOff>
      <xdr:row>80</xdr:row>
      <xdr:rowOff>152400</xdr:rowOff>
    </xdr:from>
    <xdr:to>
      <xdr:col>5</xdr:col>
      <xdr:colOff>352425</xdr:colOff>
      <xdr:row>81</xdr:row>
      <xdr:rowOff>104775</xdr:rowOff>
    </xdr:to>
    <xdr:sp>
      <xdr:nvSpPr>
        <xdr:cNvPr id="45" name="Text Box 56"/>
        <xdr:cNvSpPr txBox="1">
          <a:spLocks noChangeArrowheads="1"/>
        </xdr:cNvSpPr>
      </xdr:nvSpPr>
      <xdr:spPr>
        <a:xfrm>
          <a:off x="3143250" y="14030325"/>
          <a:ext cx="142875" cy="104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142875</xdr:colOff>
      <xdr:row>85</xdr:row>
      <xdr:rowOff>76200</xdr:rowOff>
    </xdr:from>
    <xdr:to>
      <xdr:col>4</xdr:col>
      <xdr:colOff>295275</xdr:colOff>
      <xdr:row>86</xdr:row>
      <xdr:rowOff>47625</xdr:rowOff>
    </xdr:to>
    <xdr:sp>
      <xdr:nvSpPr>
        <xdr:cNvPr id="46" name="Text Box 57"/>
        <xdr:cNvSpPr txBox="1">
          <a:spLocks noChangeArrowheads="1"/>
        </xdr:cNvSpPr>
      </xdr:nvSpPr>
      <xdr:spPr>
        <a:xfrm>
          <a:off x="2381250" y="14716125"/>
          <a:ext cx="152400" cy="123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419100</xdr:colOff>
      <xdr:row>81</xdr:row>
      <xdr:rowOff>0</xdr:rowOff>
    </xdr:from>
    <xdr:to>
      <xdr:col>4</xdr:col>
      <xdr:colOff>561975</xdr:colOff>
      <xdr:row>81</xdr:row>
      <xdr:rowOff>114300</xdr:rowOff>
    </xdr:to>
    <xdr:sp>
      <xdr:nvSpPr>
        <xdr:cNvPr id="47" name="Text Box 58"/>
        <xdr:cNvSpPr txBox="1">
          <a:spLocks noChangeArrowheads="1"/>
        </xdr:cNvSpPr>
      </xdr:nvSpPr>
      <xdr:spPr>
        <a:xfrm>
          <a:off x="2657475" y="14030325"/>
          <a:ext cx="142875" cy="114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419100</xdr:colOff>
      <xdr:row>85</xdr:row>
      <xdr:rowOff>76200</xdr:rowOff>
    </xdr:from>
    <xdr:to>
      <xdr:col>5</xdr:col>
      <xdr:colOff>533400</xdr:colOff>
      <xdr:row>86</xdr:row>
      <xdr:rowOff>47625</xdr:rowOff>
    </xdr:to>
    <xdr:sp>
      <xdr:nvSpPr>
        <xdr:cNvPr id="48" name="Text Box 59"/>
        <xdr:cNvSpPr txBox="1">
          <a:spLocks noChangeArrowheads="1"/>
        </xdr:cNvSpPr>
      </xdr:nvSpPr>
      <xdr:spPr>
        <a:xfrm>
          <a:off x="3343275" y="14716125"/>
          <a:ext cx="114300" cy="123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47625</xdr:colOff>
      <xdr:row>75</xdr:row>
      <xdr:rowOff>9525</xdr:rowOff>
    </xdr:from>
    <xdr:to>
      <xdr:col>5</xdr:col>
      <xdr:colOff>190500</xdr:colOff>
      <xdr:row>75</xdr:row>
      <xdr:rowOff>142875</xdr:rowOff>
    </xdr:to>
    <xdr:sp>
      <xdr:nvSpPr>
        <xdr:cNvPr id="49" name="Text Box 60"/>
        <xdr:cNvSpPr txBox="1">
          <a:spLocks noChangeArrowheads="1"/>
        </xdr:cNvSpPr>
      </xdr:nvSpPr>
      <xdr:spPr>
        <a:xfrm>
          <a:off x="2971800" y="12668250"/>
          <a:ext cx="142875" cy="123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5</xdr:col>
      <xdr:colOff>152400</xdr:colOff>
      <xdr:row>86</xdr:row>
      <xdr:rowOff>104775</xdr:rowOff>
    </xdr:from>
    <xdr:to>
      <xdr:col>5</xdr:col>
      <xdr:colOff>295275</xdr:colOff>
      <xdr:row>87</xdr:row>
      <xdr:rowOff>76200</xdr:rowOff>
    </xdr:to>
    <xdr:sp>
      <xdr:nvSpPr>
        <xdr:cNvPr id="50" name="Text Box 62"/>
        <xdr:cNvSpPr txBox="1">
          <a:spLocks noChangeArrowheads="1"/>
        </xdr:cNvSpPr>
      </xdr:nvSpPr>
      <xdr:spPr>
        <a:xfrm>
          <a:off x="3076575" y="14897100"/>
          <a:ext cx="142875" cy="123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390525</xdr:colOff>
      <xdr:row>86</xdr:row>
      <xdr:rowOff>47625</xdr:rowOff>
    </xdr:from>
    <xdr:to>
      <xdr:col>4</xdr:col>
      <xdr:colOff>533400</xdr:colOff>
      <xdr:row>87</xdr:row>
      <xdr:rowOff>28575</xdr:rowOff>
    </xdr:to>
    <xdr:sp>
      <xdr:nvSpPr>
        <xdr:cNvPr id="51" name="Text Box 63"/>
        <xdr:cNvSpPr txBox="1">
          <a:spLocks noChangeArrowheads="1"/>
        </xdr:cNvSpPr>
      </xdr:nvSpPr>
      <xdr:spPr>
        <a:xfrm>
          <a:off x="2628900" y="14839950"/>
          <a:ext cx="142875" cy="133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9</xdr:col>
      <xdr:colOff>457200</xdr:colOff>
      <xdr:row>85</xdr:row>
      <xdr:rowOff>0</xdr:rowOff>
    </xdr:from>
    <xdr:to>
      <xdr:col>9</xdr:col>
      <xdr:colOff>600075</xdr:colOff>
      <xdr:row>85</xdr:row>
      <xdr:rowOff>114300</xdr:rowOff>
    </xdr:to>
    <xdr:sp>
      <xdr:nvSpPr>
        <xdr:cNvPr id="52" name="Text Box 69"/>
        <xdr:cNvSpPr txBox="1">
          <a:spLocks noChangeArrowheads="1"/>
        </xdr:cNvSpPr>
      </xdr:nvSpPr>
      <xdr:spPr>
        <a:xfrm>
          <a:off x="5905500" y="14639925"/>
          <a:ext cx="142875" cy="114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Courier"/>
              <a:ea typeface="Courier"/>
              <a:cs typeface="Courier"/>
            </a:rPr>
            <a:t>X</a:t>
          </a:r>
        </a:p>
      </xdr:txBody>
    </xdr:sp>
    <xdr:clientData/>
  </xdr:twoCellAnchor>
  <xdr:twoCellAnchor>
    <xdr:from>
      <xdr:col>4</xdr:col>
      <xdr:colOff>295275</xdr:colOff>
      <xdr:row>98</xdr:row>
      <xdr:rowOff>76200</xdr:rowOff>
    </xdr:from>
    <xdr:to>
      <xdr:col>5</xdr:col>
      <xdr:colOff>533400</xdr:colOff>
      <xdr:row>98</xdr:row>
      <xdr:rowOff>76200</xdr:rowOff>
    </xdr:to>
    <xdr:sp>
      <xdr:nvSpPr>
        <xdr:cNvPr id="53" name="Line 70"/>
        <xdr:cNvSpPr>
          <a:spLocks/>
        </xdr:cNvSpPr>
      </xdr:nvSpPr>
      <xdr:spPr>
        <a:xfrm flipH="1">
          <a:off x="2533650" y="17002125"/>
          <a:ext cx="923925" cy="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Courier"/>
              <a:ea typeface="Courier"/>
              <a:cs typeface="Courier"/>
            </a:rPr>
            <a:t/>
          </a:r>
        </a:p>
      </xdr:txBody>
    </xdr:sp>
    <xdr:clientData/>
  </xdr:twoCellAnchor>
  <xdr:twoCellAnchor>
    <xdr:from>
      <xdr:col>6</xdr:col>
      <xdr:colOff>542925</xdr:colOff>
      <xdr:row>1</xdr:row>
      <xdr:rowOff>0</xdr:rowOff>
    </xdr:from>
    <xdr:to>
      <xdr:col>7</xdr:col>
      <xdr:colOff>533400</xdr:colOff>
      <xdr:row>2</xdr:row>
      <xdr:rowOff>0</xdr:rowOff>
    </xdr:to>
    <xdr:sp macro="[0]!Button8_Click">
      <xdr:nvSpPr>
        <xdr:cNvPr id="54" name="Rectangle 3338"/>
        <xdr:cNvSpPr>
          <a:spLocks/>
        </xdr:cNvSpPr>
      </xdr:nvSpPr>
      <xdr:spPr>
        <a:xfrm>
          <a:off x="4162425" y="190500"/>
          <a:ext cx="676275" cy="400050"/>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rPr>
            <a:t> &lt;&lt;</a:t>
          </a:r>
          <a:r>
            <a:rPr lang="en-US" cap="none" sz="1000" b="1" i="0" u="none" baseline="0">
              <a:solidFill>
                <a:srgbClr val="000000"/>
              </a:solidFill>
            </a:rPr>
            <a:t>BACK</a:t>
          </a:r>
        </a:p>
      </xdr:txBody>
    </xdr:sp>
    <xdr:clientData/>
  </xdr:twoCellAnchor>
  <xdr:twoCellAnchor>
    <xdr:from>
      <xdr:col>7</xdr:col>
      <xdr:colOff>542925</xdr:colOff>
      <xdr:row>1</xdr:row>
      <xdr:rowOff>0</xdr:rowOff>
    </xdr:from>
    <xdr:to>
      <xdr:col>9</xdr:col>
      <xdr:colOff>190500</xdr:colOff>
      <xdr:row>2</xdr:row>
      <xdr:rowOff>0</xdr:rowOff>
    </xdr:to>
    <xdr:sp macro="[0]!Button10_Click">
      <xdr:nvSpPr>
        <xdr:cNvPr id="55" name="Rectangle 3339"/>
        <xdr:cNvSpPr>
          <a:spLocks/>
        </xdr:cNvSpPr>
      </xdr:nvSpPr>
      <xdr:spPr>
        <a:xfrm>
          <a:off x="4848225" y="190500"/>
          <a:ext cx="790575" cy="400050"/>
        </a:xfrm>
        <a:prstGeom prst="rect">
          <a:avLst/>
        </a:prstGeom>
        <a:solidFill>
          <a:srgbClr val="99CC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1" i="0" u="none" baseline="0">
              <a:solidFill>
                <a:srgbClr val="000000"/>
              </a:solidFill>
            </a:rPr>
            <a:t>NEXT &gt;&gt;</a:t>
          </a:r>
        </a:p>
      </xdr:txBody>
    </xdr:sp>
    <xdr:clientData/>
  </xdr:twoCellAnchor>
  <xdr:twoCellAnchor>
    <xdr:from>
      <xdr:col>0</xdr:col>
      <xdr:colOff>114300</xdr:colOff>
      <xdr:row>2</xdr:row>
      <xdr:rowOff>104775</xdr:rowOff>
    </xdr:from>
    <xdr:to>
      <xdr:col>9</xdr:col>
      <xdr:colOff>28575</xdr:colOff>
      <xdr:row>5</xdr:row>
      <xdr:rowOff>38100</xdr:rowOff>
    </xdr:to>
    <xdr:sp>
      <xdr:nvSpPr>
        <xdr:cNvPr id="56" name="TextBox 1"/>
        <xdr:cNvSpPr txBox="1">
          <a:spLocks noChangeArrowheads="1"/>
        </xdr:cNvSpPr>
      </xdr:nvSpPr>
      <xdr:spPr>
        <a:xfrm>
          <a:off x="114300" y="695325"/>
          <a:ext cx="5362575" cy="504825"/>
        </a:xfrm>
        <a:prstGeom prst="rect">
          <a:avLst/>
        </a:prstGeom>
        <a:no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Step 8. </a:t>
          </a:r>
          <a:r>
            <a:rPr lang="en-US" cap="none" sz="1000" b="0" i="0" u="none" baseline="0">
              <a:solidFill>
                <a:srgbClr val="000000"/>
              </a:solidFill>
              <a:latin typeface="Arial"/>
              <a:ea typeface="Arial"/>
              <a:cs typeface="Arial"/>
            </a:rPr>
            <a:t>Fill in the white boxes below (the yellow boxes will be completed as you move through the process). Then press NEXT to continue.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xdr:twoCellAnchor>
</xdr:wsDr>
</file>

<file path=xl/theme/theme1.xml><?xml version="1.0" encoding="utf-8"?>
<a:theme xmlns:a="http://schemas.openxmlformats.org/drawingml/2006/main" name="Office Them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griculture.gov.sk.ca/Default.aspx?DN=f4b84942-e058-4b5f-92eb-b4f5435bc9d6" TargetMode="Externa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2:I28"/>
  <sheetViews>
    <sheetView showRowColHeaders="0" showOutlineSymbols="0" defaultGridColor="0" zoomScalePageLayoutView="125" colorId="55" workbookViewId="0" topLeftCell="A1">
      <selection activeCell="A3" sqref="A3"/>
    </sheetView>
  </sheetViews>
  <sheetFormatPr defaultColWidth="11.00390625" defaultRowHeight="12.75"/>
  <cols>
    <col min="1" max="1" width="16.875" style="0" customWidth="1"/>
    <col min="2" max="7" width="11.00390625" style="0" customWidth="1"/>
    <col min="8" max="8" width="15.125" style="0" customWidth="1"/>
  </cols>
  <sheetData>
    <row r="1" ht="60" customHeight="1"/>
    <row r="2" spans="2:8" s="142" customFormat="1" ht="21" customHeight="1">
      <c r="B2" s="143"/>
      <c r="C2" s="144"/>
      <c r="D2" s="145"/>
      <c r="E2" s="145"/>
      <c r="F2" s="145"/>
      <c r="G2" s="144"/>
      <c r="H2" s="747"/>
    </row>
    <row r="3" spans="2:8" ht="23.25">
      <c r="B3" s="146"/>
      <c r="C3" s="141"/>
      <c r="D3" s="155"/>
      <c r="E3" s="155" t="s">
        <v>327</v>
      </c>
      <c r="F3" s="155"/>
      <c r="G3" s="147"/>
      <c r="H3" s="748"/>
    </row>
    <row r="4" spans="2:8" ht="23.25">
      <c r="B4" s="146"/>
      <c r="C4" s="141"/>
      <c r="D4" s="156"/>
      <c r="E4" s="156"/>
      <c r="F4" s="156"/>
      <c r="G4" s="141"/>
      <c r="H4" s="749"/>
    </row>
    <row r="5" spans="2:8" ht="22.5">
      <c r="B5" s="146"/>
      <c r="C5" s="141"/>
      <c r="D5" s="156"/>
      <c r="E5" s="156"/>
      <c r="F5" s="156"/>
      <c r="G5" s="141"/>
      <c r="H5" s="749"/>
    </row>
    <row r="6" spans="2:8" ht="12">
      <c r="B6" s="146"/>
      <c r="C6" s="141"/>
      <c r="D6" s="141"/>
      <c r="E6" s="141"/>
      <c r="F6" s="141"/>
      <c r="G6" s="141"/>
      <c r="H6" s="749"/>
    </row>
    <row r="7" spans="2:8" s="84" customFormat="1" ht="27.75">
      <c r="B7" s="148" t="s">
        <v>326</v>
      </c>
      <c r="C7" s="149"/>
      <c r="D7" s="149"/>
      <c r="E7" s="149"/>
      <c r="F7" s="149"/>
      <c r="G7" s="149"/>
      <c r="H7" s="750"/>
    </row>
    <row r="8" spans="2:8" s="84" customFormat="1" ht="15.75" customHeight="1">
      <c r="B8" s="150"/>
      <c r="C8" s="151"/>
      <c r="D8" s="151"/>
      <c r="E8" s="151"/>
      <c r="F8" s="151"/>
      <c r="G8" s="151"/>
      <c r="H8" s="751"/>
    </row>
    <row r="9" spans="1:9" s="1" customFormat="1" ht="12.75" customHeight="1">
      <c r="A9" s="83"/>
      <c r="B9" s="771" t="s">
        <v>325</v>
      </c>
      <c r="C9" s="772"/>
      <c r="D9" s="772"/>
      <c r="E9" s="772"/>
      <c r="F9" s="772"/>
      <c r="G9" s="772"/>
      <c r="H9" s="773"/>
      <c r="I9" s="83"/>
    </row>
    <row r="10" spans="1:9" s="1" customFormat="1" ht="12.75" customHeight="1">
      <c r="A10" s="83"/>
      <c r="B10" s="146"/>
      <c r="C10" s="141"/>
      <c r="D10" s="141"/>
      <c r="E10" s="141"/>
      <c r="F10" s="141"/>
      <c r="G10" s="141"/>
      <c r="H10" s="749"/>
      <c r="I10" s="83"/>
    </row>
    <row r="11" spans="1:9" s="1" customFormat="1" ht="30.75" customHeight="1">
      <c r="A11" s="83"/>
      <c r="B11" s="765" t="s">
        <v>172</v>
      </c>
      <c r="C11" s="766"/>
      <c r="D11" s="766"/>
      <c r="E11" s="766"/>
      <c r="F11" s="766"/>
      <c r="G11" s="766"/>
      <c r="H11" s="767"/>
      <c r="I11" s="83"/>
    </row>
    <row r="12" spans="1:9" s="1" customFormat="1" ht="13.5">
      <c r="A12" s="83"/>
      <c r="B12" s="152"/>
      <c r="C12" s="153"/>
      <c r="D12" s="153"/>
      <c r="E12" s="153"/>
      <c r="F12" s="153"/>
      <c r="G12" s="153"/>
      <c r="H12" s="752"/>
      <c r="I12" s="83"/>
    </row>
    <row r="13" spans="1:9" s="1" customFormat="1" ht="33" customHeight="1">
      <c r="A13" s="83"/>
      <c r="B13" s="765" t="s">
        <v>76</v>
      </c>
      <c r="C13" s="777"/>
      <c r="D13" s="777"/>
      <c r="E13" s="777"/>
      <c r="F13" s="777"/>
      <c r="G13" s="777"/>
      <c r="H13" s="778"/>
      <c r="I13" s="83"/>
    </row>
    <row r="14" spans="1:9" s="1" customFormat="1" ht="13.5">
      <c r="A14" s="83"/>
      <c r="B14" s="152"/>
      <c r="C14" s="153"/>
      <c r="D14" s="153"/>
      <c r="E14" s="153"/>
      <c r="F14" s="153"/>
      <c r="G14" s="153"/>
      <c r="H14" s="752"/>
      <c r="I14" s="83"/>
    </row>
    <row r="15" spans="1:9" s="1" customFormat="1" ht="27.75" customHeight="1">
      <c r="A15" s="83"/>
      <c r="B15" s="765" t="s">
        <v>218</v>
      </c>
      <c r="C15" s="777"/>
      <c r="D15" s="777"/>
      <c r="E15" s="777"/>
      <c r="F15" s="777"/>
      <c r="G15" s="777"/>
      <c r="H15" s="778"/>
      <c r="I15" s="83"/>
    </row>
    <row r="16" spans="1:9" s="1" customFormat="1" ht="15.75" customHeight="1">
      <c r="A16" s="83"/>
      <c r="B16" s="154"/>
      <c r="C16" s="153"/>
      <c r="D16" s="153"/>
      <c r="E16" s="153"/>
      <c r="F16" s="153"/>
      <c r="G16" s="153"/>
      <c r="H16" s="752"/>
      <c r="I16" s="83"/>
    </row>
    <row r="17" spans="2:8" s="83" customFormat="1" ht="33" customHeight="1">
      <c r="B17" s="779" t="s">
        <v>329</v>
      </c>
      <c r="C17" s="777"/>
      <c r="D17" s="777"/>
      <c r="E17" s="777"/>
      <c r="F17" s="777"/>
      <c r="G17" s="777"/>
      <c r="H17" s="778"/>
    </row>
    <row r="18" spans="2:8" s="1" customFormat="1" ht="24" customHeight="1">
      <c r="B18" s="768" t="s">
        <v>328</v>
      </c>
      <c r="C18" s="769"/>
      <c r="D18" s="769"/>
      <c r="E18" s="769"/>
      <c r="F18" s="769"/>
      <c r="G18" s="769"/>
      <c r="H18" s="770"/>
    </row>
    <row r="19" spans="2:8" s="1" customFormat="1" ht="24" customHeight="1">
      <c r="B19" s="743"/>
      <c r="C19" s="744"/>
      <c r="D19" s="744"/>
      <c r="E19" s="744"/>
      <c r="F19" s="744"/>
      <c r="G19" s="744"/>
      <c r="H19" s="753"/>
    </row>
    <row r="20" spans="2:8" s="1" customFormat="1" ht="24" customHeight="1">
      <c r="B20" s="743"/>
      <c r="C20" s="744"/>
      <c r="D20" s="744"/>
      <c r="E20" s="744"/>
      <c r="F20" s="744"/>
      <c r="G20" s="744"/>
      <c r="H20" s="753"/>
    </row>
    <row r="21" spans="2:8" s="83" customFormat="1" ht="22.5" customHeight="1">
      <c r="B21" s="774"/>
      <c r="C21" s="775"/>
      <c r="D21" s="775"/>
      <c r="E21" s="775"/>
      <c r="F21" s="775"/>
      <c r="G21" s="775"/>
      <c r="H21" s="776"/>
    </row>
    <row r="22" spans="1:9" s="83" customFormat="1" ht="13.5">
      <c r="A22"/>
      <c r="B22" s="157"/>
      <c r="C22" s="158"/>
      <c r="D22" s="158"/>
      <c r="E22" s="158"/>
      <c r="F22" s="158"/>
      <c r="G22" s="158"/>
      <c r="H22" s="754"/>
      <c r="I22"/>
    </row>
    <row r="23" spans="1:9" s="83" customFormat="1" ht="14.25" customHeight="1">
      <c r="A23"/>
      <c r="B23" s="762"/>
      <c r="C23" s="763"/>
      <c r="D23" s="763"/>
      <c r="E23" s="763"/>
      <c r="F23" s="763"/>
      <c r="G23" s="763"/>
      <c r="H23" s="764"/>
      <c r="I23"/>
    </row>
    <row r="24" spans="1:9" s="83" customFormat="1" ht="7.5" customHeight="1">
      <c r="A24"/>
      <c r="B24" s="755"/>
      <c r="C24" s="141"/>
      <c r="D24" s="141"/>
      <c r="E24" s="141"/>
      <c r="F24" s="141"/>
      <c r="G24" s="141"/>
      <c r="H24" s="756"/>
      <c r="I24"/>
    </row>
    <row r="25" spans="1:9" s="83" customFormat="1" ht="30" customHeight="1">
      <c r="A25"/>
      <c r="B25" s="755"/>
      <c r="C25" s="141"/>
      <c r="D25" s="141"/>
      <c r="E25" s="141"/>
      <c r="F25" s="141"/>
      <c r="G25" s="141"/>
      <c r="H25" s="756"/>
      <c r="I25"/>
    </row>
    <row r="26" spans="1:9" s="83" customFormat="1" ht="12">
      <c r="A26"/>
      <c r="B26" s="757"/>
      <c r="C26" s="758"/>
      <c r="D26" s="758"/>
      <c r="E26" s="758"/>
      <c r="F26" s="758"/>
      <c r="G26" s="758"/>
      <c r="H26" s="759"/>
      <c r="I26"/>
    </row>
    <row r="27" spans="1:9" s="83" customFormat="1" ht="27" customHeight="1">
      <c r="A27"/>
      <c r="B27"/>
      <c r="C27"/>
      <c r="D27"/>
      <c r="E27"/>
      <c r="F27"/>
      <c r="G27"/>
      <c r="H27"/>
      <c r="I27"/>
    </row>
    <row r="28" spans="1:9" s="83" customFormat="1" ht="16.5" customHeight="1">
      <c r="A28"/>
      <c r="B28"/>
      <c r="C28"/>
      <c r="D28"/>
      <c r="E28"/>
      <c r="F28"/>
      <c r="G28"/>
      <c r="H28"/>
      <c r="I28"/>
    </row>
  </sheetData>
  <sheetProtection selectLockedCells="1"/>
  <mergeCells count="8">
    <mergeCell ref="B23:H23"/>
    <mergeCell ref="B11:H11"/>
    <mergeCell ref="B18:H18"/>
    <mergeCell ref="B9:H9"/>
    <mergeCell ref="B21:H21"/>
    <mergeCell ref="B13:H13"/>
    <mergeCell ref="B15:H15"/>
    <mergeCell ref="B17:H17"/>
  </mergeCells>
  <printOptions/>
  <pageMargins left="0.75" right="0.75" top="1" bottom="1" header="0.5" footer="0.5"/>
  <pageSetup orientation="portrait"/>
  <drawing r:id="rId1"/>
</worksheet>
</file>

<file path=xl/worksheets/sheet10.xml><?xml version="1.0" encoding="utf-8"?>
<worksheet xmlns="http://schemas.openxmlformats.org/spreadsheetml/2006/main" xmlns:r="http://schemas.openxmlformats.org/officeDocument/2006/relationships">
  <sheetPr codeName="Sheet10"/>
  <dimension ref="A2:V50"/>
  <sheetViews>
    <sheetView tabSelected="1" defaultGridColor="0" zoomScalePageLayoutView="0" colorId="55" workbookViewId="0" topLeftCell="A1">
      <selection activeCell="C13" sqref="C13"/>
    </sheetView>
  </sheetViews>
  <sheetFormatPr defaultColWidth="8.875" defaultRowHeight="12.75"/>
  <cols>
    <col min="1" max="1" width="2.625" style="0" customWidth="1"/>
    <col min="2" max="2" width="24.875" style="0" customWidth="1"/>
    <col min="3" max="3" width="5.50390625" style="0" customWidth="1"/>
    <col min="4" max="4" width="7.375" style="0" customWidth="1"/>
    <col min="5" max="5" width="10.00390625" style="0" customWidth="1"/>
    <col min="6" max="6" width="9.625" style="0" customWidth="1"/>
    <col min="7" max="7" width="8.50390625" style="0" customWidth="1"/>
    <col min="8" max="8" width="9.875" style="0" customWidth="1"/>
    <col min="9" max="10" width="8.625" style="0" customWidth="1"/>
    <col min="11" max="11" width="3.625" style="0" customWidth="1"/>
    <col min="12" max="12" width="14.625" style="0" customWidth="1"/>
  </cols>
  <sheetData>
    <row r="1" ht="15" customHeight="1"/>
    <row r="2" spans="2:22" s="9" customFormat="1" ht="31.5" customHeight="1">
      <c r="B2" s="5"/>
      <c r="C2" s="5"/>
      <c r="D2" s="11"/>
      <c r="E2" s="5"/>
      <c r="F2" s="5"/>
      <c r="G2" s="19"/>
      <c r="H2" s="19"/>
      <c r="I2" s="137"/>
      <c r="J2" s="137"/>
      <c r="K2" s="41"/>
      <c r="L2" s="49"/>
      <c r="M2" s="97"/>
      <c r="N2" s="68"/>
      <c r="O2" s="97"/>
      <c r="P2" s="61"/>
      <c r="Q2" s="5"/>
      <c r="R2" s="47"/>
      <c r="S2" s="47"/>
      <c r="T2" s="47"/>
      <c r="U2" s="47"/>
      <c r="V2" s="47"/>
    </row>
    <row r="3" ht="15" customHeight="1"/>
    <row r="4" ht="18.75" customHeight="1"/>
    <row r="5" spans="1:12" ht="15" customHeight="1">
      <c r="A5" s="9"/>
      <c r="B5" s="740"/>
      <c r="C5" s="740"/>
      <c r="D5" s="740"/>
      <c r="E5" s="740"/>
      <c r="F5" s="740"/>
      <c r="G5" s="740"/>
      <c r="H5" s="740"/>
      <c r="I5" s="740"/>
      <c r="J5" s="740"/>
      <c r="K5" s="86"/>
      <c r="L5" s="1"/>
    </row>
    <row r="6" spans="1:13" s="741" customFormat="1" ht="15" customHeight="1" thickBot="1">
      <c r="A6" s="666"/>
      <c r="B6" s="668" t="s">
        <v>569</v>
      </c>
      <c r="C6" s="742"/>
      <c r="D6" s="742"/>
      <c r="E6" s="742"/>
      <c r="F6" s="742"/>
      <c r="G6" s="742"/>
      <c r="H6" s="742"/>
      <c r="I6" s="742"/>
      <c r="J6" s="742"/>
      <c r="L6" s="668"/>
      <c r="M6" s="668"/>
    </row>
    <row r="7" spans="1:12" ht="15.75">
      <c r="A7" s="9"/>
      <c r="B7" s="818" t="s">
        <v>473</v>
      </c>
      <c r="C7" s="819"/>
      <c r="D7" s="819"/>
      <c r="E7" s="819"/>
      <c r="F7" s="819"/>
      <c r="G7" s="819"/>
      <c r="H7" s="819"/>
      <c r="I7" s="819"/>
      <c r="J7" s="820"/>
      <c r="K7" s="85"/>
      <c r="L7" s="22"/>
    </row>
    <row r="8" spans="1:12" ht="12">
      <c r="A8" s="9"/>
      <c r="B8" s="160" t="s">
        <v>65</v>
      </c>
      <c r="C8" s="161"/>
      <c r="D8" s="293">
        <v>640</v>
      </c>
      <c r="E8" s="162" t="s">
        <v>212</v>
      </c>
      <c r="F8" s="163" t="s">
        <v>214</v>
      </c>
      <c r="G8" s="164"/>
      <c r="H8" s="795" t="s">
        <v>590</v>
      </c>
      <c r="I8" s="796"/>
      <c r="J8" s="797"/>
      <c r="K8" s="87"/>
      <c r="L8" s="5"/>
    </row>
    <row r="9" spans="1:12" ht="12">
      <c r="A9" s="9"/>
      <c r="B9" s="160"/>
      <c r="C9" s="161"/>
      <c r="D9" s="165"/>
      <c r="E9" s="166" t="s">
        <v>213</v>
      </c>
      <c r="F9" s="167" t="s">
        <v>215</v>
      </c>
      <c r="G9" s="164"/>
      <c r="H9" s="168"/>
      <c r="I9" s="169"/>
      <c r="J9" s="170"/>
      <c r="K9" s="87"/>
      <c r="L9" s="61"/>
    </row>
    <row r="10" spans="1:12" ht="12">
      <c r="A10" s="9"/>
      <c r="B10" s="171" t="s">
        <v>259</v>
      </c>
      <c r="C10" s="172"/>
      <c r="D10" s="292">
        <v>230</v>
      </c>
      <c r="E10" s="295">
        <v>1.5</v>
      </c>
      <c r="F10" s="575">
        <f>D10*E10</f>
        <v>345</v>
      </c>
      <c r="G10" s="164"/>
      <c r="H10" s="174"/>
      <c r="I10" s="169"/>
      <c r="J10" s="175"/>
      <c r="K10" s="82"/>
      <c r="L10" s="61"/>
    </row>
    <row r="11" spans="1:12" ht="12">
      <c r="A11" s="9"/>
      <c r="B11" s="176" t="s">
        <v>66</v>
      </c>
      <c r="C11" s="177"/>
      <c r="D11" s="292">
        <v>150</v>
      </c>
      <c r="E11" s="295">
        <v>2</v>
      </c>
      <c r="F11" s="575">
        <f>D11*E11</f>
        <v>300</v>
      </c>
      <c r="G11" s="164"/>
      <c r="H11" s="178"/>
      <c r="I11" s="169"/>
      <c r="J11" s="170"/>
      <c r="K11" s="87"/>
      <c r="L11" s="61"/>
    </row>
    <row r="12" spans="1:12" ht="12">
      <c r="A12" s="9"/>
      <c r="B12" s="176" t="s">
        <v>300</v>
      </c>
      <c r="C12" s="580"/>
      <c r="D12" s="576">
        <f>D8-D10-D11</f>
        <v>260</v>
      </c>
      <c r="E12" s="295">
        <v>2</v>
      </c>
      <c r="F12" s="575">
        <f>D12*E12</f>
        <v>520</v>
      </c>
      <c r="G12" s="164"/>
      <c r="H12" s="178"/>
      <c r="I12" s="169"/>
      <c r="J12" s="170"/>
      <c r="K12" s="87"/>
      <c r="L12" s="61"/>
    </row>
    <row r="13" spans="1:12" ht="12">
      <c r="A13" s="9"/>
      <c r="B13" s="176" t="s">
        <v>477</v>
      </c>
      <c r="C13" s="294">
        <v>1</v>
      </c>
      <c r="D13" s="577"/>
      <c r="E13" s="578"/>
      <c r="F13" s="579">
        <f>C13</f>
        <v>1</v>
      </c>
      <c r="G13" s="164"/>
      <c r="H13" s="178"/>
      <c r="I13" s="169"/>
      <c r="J13" s="170"/>
      <c r="K13" s="87"/>
      <c r="L13" s="61"/>
    </row>
    <row r="14" spans="1:12" ht="12.75" thickBot="1">
      <c r="A14" s="9"/>
      <c r="B14" s="183" t="s">
        <v>176</v>
      </c>
      <c r="C14" s="184"/>
      <c r="D14" s="185">
        <f>SUM(D10:D12)</f>
        <v>640</v>
      </c>
      <c r="E14" s="186"/>
      <c r="F14" s="187">
        <f>SUM(F10:F13)</f>
        <v>1166</v>
      </c>
      <c r="G14" s="188"/>
      <c r="H14" s="189"/>
      <c r="I14" s="190" t="s">
        <v>323</v>
      </c>
      <c r="J14" s="191">
        <f>F14</f>
        <v>1166</v>
      </c>
      <c r="K14" s="88"/>
      <c r="L14" s="61"/>
    </row>
    <row r="15" spans="1:12" ht="15.75">
      <c r="A15" s="9"/>
      <c r="B15" s="821" t="s">
        <v>474</v>
      </c>
      <c r="C15" s="822"/>
      <c r="D15" s="823"/>
      <c r="E15" s="823"/>
      <c r="F15" s="784" t="s">
        <v>259</v>
      </c>
      <c r="G15" s="785"/>
      <c r="H15" s="787" t="s">
        <v>300</v>
      </c>
      <c r="I15" s="788"/>
      <c r="J15" s="789"/>
      <c r="K15" s="89"/>
      <c r="L15" s="61"/>
    </row>
    <row r="16" spans="1:12" ht="12">
      <c r="A16" s="9"/>
      <c r="B16" s="192"/>
      <c r="C16" s="193"/>
      <c r="D16" s="589"/>
      <c r="E16" s="590" t="s">
        <v>318</v>
      </c>
      <c r="F16" s="591" t="s">
        <v>35</v>
      </c>
      <c r="G16" s="592" t="s">
        <v>319</v>
      </c>
      <c r="H16" s="593" t="s">
        <v>318</v>
      </c>
      <c r="I16" s="594" t="s">
        <v>302</v>
      </c>
      <c r="J16" s="592" t="s">
        <v>319</v>
      </c>
      <c r="K16" s="90"/>
      <c r="L16" s="61"/>
    </row>
    <row r="17" spans="1:12" ht="12">
      <c r="A17" s="9"/>
      <c r="B17" s="194"/>
      <c r="C17" s="195"/>
      <c r="D17" s="595" t="s">
        <v>486</v>
      </c>
      <c r="E17" s="596" t="s">
        <v>3</v>
      </c>
      <c r="F17" s="597" t="s">
        <v>577</v>
      </c>
      <c r="G17" s="592" t="s">
        <v>261</v>
      </c>
      <c r="H17" s="591" t="s">
        <v>3</v>
      </c>
      <c r="I17" s="598" t="s">
        <v>336</v>
      </c>
      <c r="J17" s="592" t="s">
        <v>261</v>
      </c>
      <c r="K17" s="90"/>
      <c r="L17" s="61"/>
    </row>
    <row r="18" spans="1:12" ht="12">
      <c r="A18" s="9"/>
      <c r="B18" s="196" t="s">
        <v>301</v>
      </c>
      <c r="C18" s="197"/>
      <c r="D18" s="292">
        <v>100</v>
      </c>
      <c r="E18" s="198">
        <f>(D32+E32)/2</f>
        <v>1069</v>
      </c>
      <c r="F18" s="298">
        <v>0.03</v>
      </c>
      <c r="G18" s="199">
        <f>(D18*E18*F18*H32)/2000</f>
        <v>221.283</v>
      </c>
      <c r="H18" s="200"/>
      <c r="I18" s="299">
        <v>0.025</v>
      </c>
      <c r="J18" s="199">
        <f>D18*E18*I18*H34/2000</f>
        <v>221.8175</v>
      </c>
      <c r="K18" s="91"/>
      <c r="L18" s="61"/>
    </row>
    <row r="19" spans="1:12" ht="12">
      <c r="A19" s="9"/>
      <c r="B19" s="176" t="s">
        <v>168</v>
      </c>
      <c r="C19" s="296">
        <v>0.04</v>
      </c>
      <c r="D19" s="201">
        <f>D18*C19</f>
        <v>4</v>
      </c>
      <c r="E19" s="201">
        <v>1500</v>
      </c>
      <c r="F19" s="298">
        <v>0.03</v>
      </c>
      <c r="G19" s="202">
        <f>D19*E19*F19*H32/2000</f>
        <v>12.42</v>
      </c>
      <c r="H19" s="203"/>
      <c r="I19" s="299">
        <v>0.025</v>
      </c>
      <c r="J19" s="202">
        <f>D19*E19*F19*H34/2000</f>
        <v>14.94</v>
      </c>
      <c r="K19" s="91"/>
      <c r="L19" s="61"/>
    </row>
    <row r="20" spans="1:12" ht="12">
      <c r="A20" s="9"/>
      <c r="B20" s="176" t="s">
        <v>2</v>
      </c>
      <c r="C20" s="296">
        <v>0.12</v>
      </c>
      <c r="D20" s="201">
        <f>D18*C20</f>
        <v>12</v>
      </c>
      <c r="E20" s="201">
        <f>(D36+E36)/2</f>
        <v>990.25</v>
      </c>
      <c r="F20" s="298">
        <v>0.03</v>
      </c>
      <c r="G20" s="202">
        <f>D20*E20*F20*H32/2000</f>
        <v>24.597810000000003</v>
      </c>
      <c r="H20" s="203"/>
      <c r="I20" s="299">
        <v>0.03</v>
      </c>
      <c r="J20" s="202">
        <f>D20*E20*I20*H34/2000</f>
        <v>29.58867</v>
      </c>
      <c r="K20" s="91"/>
      <c r="L20" s="61"/>
    </row>
    <row r="21" spans="1:12" ht="12">
      <c r="A21" s="9"/>
      <c r="B21" s="204" t="s">
        <v>169</v>
      </c>
      <c r="C21" s="205"/>
      <c r="D21" s="206">
        <f>D18+D19+D20</f>
        <v>116</v>
      </c>
      <c r="E21" s="206">
        <f>(D33+E33)/2</f>
        <v>1138</v>
      </c>
      <c r="F21" s="298">
        <v>0.03</v>
      </c>
      <c r="G21" s="207">
        <f>(D21*E21*F21*H33)/2000</f>
        <v>120.78732</v>
      </c>
      <c r="H21" s="208"/>
      <c r="I21" s="209"/>
      <c r="J21" s="207"/>
      <c r="K21" s="91"/>
      <c r="L21" s="61"/>
    </row>
    <row r="22" spans="1:12" ht="12">
      <c r="A22" s="9"/>
      <c r="B22" s="160" t="s">
        <v>322</v>
      </c>
      <c r="C22" s="161"/>
      <c r="D22" s="201"/>
      <c r="E22" s="210"/>
      <c r="F22" s="203"/>
      <c r="G22" s="211"/>
      <c r="H22" s="203"/>
      <c r="I22" s="164"/>
      <c r="J22" s="212"/>
      <c r="K22" s="65"/>
      <c r="L22" s="61"/>
    </row>
    <row r="23" spans="1:12" ht="12">
      <c r="A23" s="9"/>
      <c r="B23" s="176" t="s">
        <v>93</v>
      </c>
      <c r="C23" s="213"/>
      <c r="D23" s="201">
        <f>D25-D20</f>
        <v>83</v>
      </c>
      <c r="E23" s="201">
        <f>(D43+E43)/2</f>
        <v>972.625</v>
      </c>
      <c r="F23" s="298">
        <v>0.0325</v>
      </c>
      <c r="G23" s="202">
        <f>D23*E23*F23*H43/2000</f>
        <v>80.02150609375</v>
      </c>
      <c r="H23" s="203">
        <f>(D40+E40)/2</f>
        <v>677</v>
      </c>
      <c r="I23" s="299">
        <v>0.033</v>
      </c>
      <c r="J23" s="202">
        <f>(D23*H23*I23*H40)/2000</f>
        <v>210.4633905</v>
      </c>
      <c r="K23" s="91"/>
      <c r="L23" s="61"/>
    </row>
    <row r="24" spans="1:12" ht="12">
      <c r="A24" s="9"/>
      <c r="B24" s="204" t="s">
        <v>70</v>
      </c>
      <c r="C24" s="177"/>
      <c r="D24" s="206">
        <f>D23</f>
        <v>83</v>
      </c>
      <c r="E24" s="206">
        <f>(D44+E44)/2</f>
        <v>1127.875</v>
      </c>
      <c r="F24" s="298">
        <v>0.0325</v>
      </c>
      <c r="G24" s="207">
        <f>(D24*E24*F24*H44)/2000</f>
        <v>117.13404828125</v>
      </c>
      <c r="H24" s="208"/>
      <c r="I24" s="209"/>
      <c r="J24" s="207"/>
      <c r="K24" s="91"/>
      <c r="L24" s="61"/>
    </row>
    <row r="25" spans="1:12" ht="12.75" thickBot="1">
      <c r="A25" s="9"/>
      <c r="B25" s="214" t="s">
        <v>205</v>
      </c>
      <c r="C25" s="637">
        <v>0.95</v>
      </c>
      <c r="D25" s="215">
        <f>D18*C25</f>
        <v>95</v>
      </c>
      <c r="E25" s="216"/>
      <c r="F25" s="217"/>
      <c r="G25" s="191">
        <f>SUM(G18:G24)</f>
        <v>576.243684375</v>
      </c>
      <c r="H25" s="218"/>
      <c r="I25" s="216"/>
      <c r="J25" s="191">
        <f>SUM(J18:J23)</f>
        <v>476.8095605</v>
      </c>
      <c r="K25" s="88"/>
      <c r="L25" s="61"/>
    </row>
    <row r="26" spans="1:12" ht="12.75" thickBot="1">
      <c r="A26" s="9"/>
      <c r="B26" s="616"/>
      <c r="C26" s="617"/>
      <c r="D26" s="618"/>
      <c r="E26" s="619"/>
      <c r="F26" s="615"/>
      <c r="G26" s="620" t="s">
        <v>316</v>
      </c>
      <c r="H26" s="616"/>
      <c r="I26" s="619" t="s">
        <v>176</v>
      </c>
      <c r="J26" s="621">
        <f>SUM(G25:J25)</f>
        <v>1053.053244875</v>
      </c>
      <c r="K26" s="88"/>
      <c r="L26" s="62"/>
    </row>
    <row r="27" spans="1:12" s="614" customFormat="1" ht="12">
      <c r="A27" s="611"/>
      <c r="B27" s="38"/>
      <c r="C27" s="38"/>
      <c r="D27" s="81"/>
      <c r="E27" s="87"/>
      <c r="F27" s="612"/>
      <c r="G27" s="613"/>
      <c r="H27" s="38"/>
      <c r="I27" s="87"/>
      <c r="J27" s="88"/>
      <c r="K27" s="88"/>
      <c r="L27" s="62"/>
    </row>
    <row r="28" spans="1:12" s="614" customFormat="1" ht="12">
      <c r="A28" s="611"/>
      <c r="B28" s="38"/>
      <c r="C28" s="38"/>
      <c r="D28" s="81"/>
      <c r="E28" s="87"/>
      <c r="F28" s="612"/>
      <c r="G28" s="613"/>
      <c r="H28" s="38"/>
      <c r="I28" s="87"/>
      <c r="J28" s="88"/>
      <c r="K28" s="88"/>
      <c r="L28" s="62"/>
    </row>
    <row r="29" spans="1:12" ht="16.5" thickBot="1">
      <c r="A29" s="40"/>
      <c r="B29" s="817" t="s">
        <v>516</v>
      </c>
      <c r="C29" s="817"/>
      <c r="D29" s="817"/>
      <c r="E29" s="817"/>
      <c r="F29" s="817"/>
      <c r="G29" s="817"/>
      <c r="H29" s="817"/>
      <c r="I29" s="817"/>
      <c r="J29" s="817"/>
      <c r="K29" s="85"/>
      <c r="L29" s="60"/>
    </row>
    <row r="30" spans="1:12" ht="12">
      <c r="A30" s="43"/>
      <c r="B30" s="221"/>
      <c r="C30" s="222"/>
      <c r="D30" s="223"/>
      <c r="E30" s="222"/>
      <c r="F30" s="223" t="s">
        <v>303</v>
      </c>
      <c r="G30" s="223" t="s">
        <v>485</v>
      </c>
      <c r="H30" s="223" t="s">
        <v>407</v>
      </c>
      <c r="I30" s="224" t="s">
        <v>94</v>
      </c>
      <c r="J30" s="225" t="s">
        <v>488</v>
      </c>
      <c r="K30" s="89"/>
      <c r="L30" s="60"/>
    </row>
    <row r="31" spans="1:12" ht="12">
      <c r="A31" s="9"/>
      <c r="B31" s="160" t="s">
        <v>130</v>
      </c>
      <c r="C31" s="161"/>
      <c r="D31" s="226" t="s">
        <v>257</v>
      </c>
      <c r="E31" s="227" t="s">
        <v>258</v>
      </c>
      <c r="F31" s="228" t="s">
        <v>487</v>
      </c>
      <c r="G31" s="228" t="s">
        <v>487</v>
      </c>
      <c r="H31" s="164"/>
      <c r="I31" s="164"/>
      <c r="J31" s="212"/>
      <c r="K31" s="65"/>
      <c r="L31" s="61"/>
    </row>
    <row r="32" spans="1:12" ht="12">
      <c r="A32" s="9"/>
      <c r="B32" s="176" t="s">
        <v>91</v>
      </c>
      <c r="C32" s="229"/>
      <c r="D32" s="300">
        <v>1000</v>
      </c>
      <c r="E32" s="230">
        <f>D32+H32*I32</f>
        <v>1138</v>
      </c>
      <c r="F32" s="301">
        <v>39583</v>
      </c>
      <c r="G32" s="301">
        <v>39721</v>
      </c>
      <c r="H32" s="201">
        <f>G32-F32</f>
        <v>138</v>
      </c>
      <c r="I32" s="295">
        <v>1</v>
      </c>
      <c r="J32" s="599">
        <f>'2 Cow Calf Phase'!J52</f>
        <v>1.3559155438921406</v>
      </c>
      <c r="K32" s="92"/>
      <c r="L32" s="61"/>
    </row>
    <row r="33" spans="1:12" ht="12">
      <c r="A33" s="9"/>
      <c r="B33" s="176" t="s">
        <v>314</v>
      </c>
      <c r="C33" s="229"/>
      <c r="D33" s="232">
        <f>E32</f>
        <v>1138</v>
      </c>
      <c r="E33" s="230">
        <f>D33+H33*I33</f>
        <v>1138</v>
      </c>
      <c r="F33" s="233">
        <f>G32</f>
        <v>39721</v>
      </c>
      <c r="G33" s="301">
        <v>39782</v>
      </c>
      <c r="H33" s="201">
        <f>G33-F33</f>
        <v>61</v>
      </c>
      <c r="I33" s="295">
        <v>0</v>
      </c>
      <c r="J33" s="599">
        <f>'2 Cow Calf Phase'!J77</f>
        <v>1.4580182043855454</v>
      </c>
      <c r="K33" s="92"/>
      <c r="L33" s="140"/>
    </row>
    <row r="34" spans="1:12" ht="12">
      <c r="A34" s="9"/>
      <c r="B34" s="176" t="s">
        <v>56</v>
      </c>
      <c r="C34" s="234"/>
      <c r="D34" s="235">
        <f>E33</f>
        <v>1138</v>
      </c>
      <c r="E34" s="236">
        <f>D34+H34*I34</f>
        <v>1055</v>
      </c>
      <c r="F34" s="237">
        <f>G33</f>
        <v>39782</v>
      </c>
      <c r="G34" s="301">
        <v>39948</v>
      </c>
      <c r="H34" s="206">
        <f>G34-F34</f>
        <v>166</v>
      </c>
      <c r="I34" s="295">
        <v>-0.5</v>
      </c>
      <c r="J34" s="600">
        <f>'2 Cow Calf Phase'!J118</f>
        <v>1.7061756496952287</v>
      </c>
      <c r="K34" s="92"/>
      <c r="L34" s="61"/>
    </row>
    <row r="35" spans="1:12" ht="12">
      <c r="A35" s="43"/>
      <c r="B35" s="239" t="s">
        <v>176</v>
      </c>
      <c r="C35" s="177"/>
      <c r="D35" s="240"/>
      <c r="E35" s="241"/>
      <c r="F35" s="227"/>
      <c r="G35" s="227"/>
      <c r="H35" s="242">
        <f>SUM(H32:H34)</f>
        <v>365</v>
      </c>
      <c r="I35" s="243"/>
      <c r="J35" s="601"/>
      <c r="K35" s="93"/>
      <c r="L35" s="60"/>
    </row>
    <row r="36" spans="1:12" ht="12">
      <c r="A36" s="9"/>
      <c r="B36" s="176" t="s">
        <v>95</v>
      </c>
      <c r="C36" s="245"/>
      <c r="D36" s="302">
        <f>E40</f>
        <v>904</v>
      </c>
      <c r="E36" s="246">
        <f>D36+H36*I36</f>
        <v>1076.5</v>
      </c>
      <c r="F36" s="247">
        <f>F43</f>
        <v>39948</v>
      </c>
      <c r="G36" s="301">
        <v>40086</v>
      </c>
      <c r="H36" s="246">
        <f>G36-F36</f>
        <v>138</v>
      </c>
      <c r="I36" s="295">
        <v>1.25</v>
      </c>
      <c r="J36" s="602">
        <f>'2 Cow Calf Phase'!J52</f>
        <v>1.3559155438921406</v>
      </c>
      <c r="K36" s="92"/>
      <c r="L36" s="61"/>
    </row>
    <row r="37" spans="1:12" ht="12">
      <c r="A37" s="43"/>
      <c r="B37" s="239"/>
      <c r="C37" s="177"/>
      <c r="D37" s="249"/>
      <c r="E37" s="241"/>
      <c r="F37" s="250"/>
      <c r="G37" s="250"/>
      <c r="H37" s="438" t="s">
        <v>200</v>
      </c>
      <c r="I37" s="243"/>
      <c r="J37" s="603">
        <f>(J32*H32)+(J33*H33)+(J34*H34)</f>
        <v>559.2806133740416</v>
      </c>
      <c r="K37" s="94"/>
      <c r="L37" s="61"/>
    </row>
    <row r="38" spans="1:12" ht="12">
      <c r="A38" s="9"/>
      <c r="B38" s="253" t="s">
        <v>321</v>
      </c>
      <c r="C38" s="254"/>
      <c r="D38" s="255"/>
      <c r="E38" s="164"/>
      <c r="F38" s="164"/>
      <c r="G38" s="164"/>
      <c r="H38" s="201"/>
      <c r="I38" s="256"/>
      <c r="J38" s="604"/>
      <c r="K38" s="95"/>
      <c r="L38" s="61"/>
    </row>
    <row r="39" spans="1:12" ht="12">
      <c r="A39" s="9"/>
      <c r="B39" s="258" t="s">
        <v>4</v>
      </c>
      <c r="C39" s="259"/>
      <c r="D39" s="255"/>
      <c r="E39" s="260"/>
      <c r="F39" s="261" t="s">
        <v>487</v>
      </c>
      <c r="G39" s="228" t="s">
        <v>487</v>
      </c>
      <c r="H39" s="260"/>
      <c r="I39" s="256"/>
      <c r="J39" s="605"/>
      <c r="K39" s="95"/>
      <c r="L39" s="61"/>
    </row>
    <row r="40" spans="1:12" ht="12">
      <c r="A40" s="9"/>
      <c r="B40" s="176" t="s">
        <v>96</v>
      </c>
      <c r="C40" s="229"/>
      <c r="D40" s="302">
        <v>450</v>
      </c>
      <c r="E40" s="164">
        <f>D40+H40*I40</f>
        <v>904</v>
      </c>
      <c r="F40" s="263">
        <f>G32</f>
        <v>39721</v>
      </c>
      <c r="G40" s="301">
        <v>39948</v>
      </c>
      <c r="H40" s="201">
        <f>G40-F40</f>
        <v>227</v>
      </c>
      <c r="I40" s="295">
        <v>2</v>
      </c>
      <c r="J40" s="599">
        <f>'3 Grassing Yearling Phase'!J41</f>
        <v>1.4966344356687609</v>
      </c>
      <c r="K40" s="92"/>
      <c r="L40" s="61"/>
    </row>
    <row r="41" spans="1:12" ht="12">
      <c r="A41" s="43"/>
      <c r="B41" s="239" t="s">
        <v>176</v>
      </c>
      <c r="C41" s="177"/>
      <c r="D41" s="240"/>
      <c r="E41" s="241"/>
      <c r="F41" s="264"/>
      <c r="G41" s="264"/>
      <c r="H41" s="610" t="s">
        <v>287</v>
      </c>
      <c r="I41" s="266"/>
      <c r="J41" s="603">
        <f>J40*H40</f>
        <v>339.73601689680874</v>
      </c>
      <c r="K41" s="94"/>
      <c r="L41" s="60"/>
    </row>
    <row r="42" spans="1:12" ht="12">
      <c r="A42" s="9"/>
      <c r="B42" s="258" t="s">
        <v>97</v>
      </c>
      <c r="C42" s="267"/>
      <c r="D42" s="268"/>
      <c r="E42" s="269"/>
      <c r="F42" s="270" t="s">
        <v>487</v>
      </c>
      <c r="G42" s="228" t="s">
        <v>487</v>
      </c>
      <c r="H42" s="269"/>
      <c r="I42" s="256"/>
      <c r="J42" s="606"/>
      <c r="K42" s="95"/>
      <c r="L42" s="61"/>
    </row>
    <row r="43" spans="1:12" ht="12">
      <c r="A43" s="9"/>
      <c r="B43" s="176" t="s">
        <v>36</v>
      </c>
      <c r="C43" s="229"/>
      <c r="D43" s="255">
        <f>E40</f>
        <v>904</v>
      </c>
      <c r="E43" s="201">
        <f>D43+H43*I43</f>
        <v>1041.25</v>
      </c>
      <c r="F43" s="263">
        <f>G40</f>
        <v>39948</v>
      </c>
      <c r="G43" s="301">
        <v>40009</v>
      </c>
      <c r="H43" s="201">
        <f>G43-F43</f>
        <v>61</v>
      </c>
      <c r="I43" s="295">
        <v>2.25</v>
      </c>
      <c r="J43" s="599">
        <f>'4 Forage Finishing Phase'!J21</f>
        <v>0.6863955498209262</v>
      </c>
      <c r="K43" s="92"/>
      <c r="L43" s="61"/>
    </row>
    <row r="44" spans="1:12" ht="12">
      <c r="A44" s="9"/>
      <c r="B44" s="176" t="s">
        <v>317</v>
      </c>
      <c r="C44" s="234"/>
      <c r="D44" s="268">
        <f>E43</f>
        <v>1041.25</v>
      </c>
      <c r="E44" s="206">
        <f>D44+H44*I44</f>
        <v>1214.5</v>
      </c>
      <c r="F44" s="272">
        <f>G43</f>
        <v>40009</v>
      </c>
      <c r="G44" s="301">
        <v>40086</v>
      </c>
      <c r="H44" s="206">
        <f>G44-F44</f>
        <v>77</v>
      </c>
      <c r="I44" s="295">
        <v>2.25</v>
      </c>
      <c r="J44" s="600">
        <f>'4 Forage Finishing Phase'!J52</f>
        <v>1.9272538531630068</v>
      </c>
      <c r="K44" s="92"/>
      <c r="L44" s="61"/>
    </row>
    <row r="45" spans="1:12" ht="12">
      <c r="A45" s="9"/>
      <c r="B45" s="176"/>
      <c r="C45" s="229"/>
      <c r="D45" s="255"/>
      <c r="E45" s="201"/>
      <c r="F45" s="273"/>
      <c r="G45" s="273"/>
      <c r="H45" s="609" t="s">
        <v>181</v>
      </c>
      <c r="I45" s="275"/>
      <c r="J45" s="603">
        <f>(J43*H43)+(J44*H44)</f>
        <v>190.268675232628</v>
      </c>
      <c r="K45" s="94"/>
      <c r="L45" s="61"/>
    </row>
    <row r="46" spans="1:12" ht="12">
      <c r="A46" s="9"/>
      <c r="B46" s="176"/>
      <c r="C46" s="229"/>
      <c r="D46" s="255"/>
      <c r="E46" s="201"/>
      <c r="F46" s="273"/>
      <c r="G46" s="273"/>
      <c r="H46" s="610" t="s">
        <v>288</v>
      </c>
      <c r="I46" s="266"/>
      <c r="J46" s="601">
        <f>J37+J41+J45</f>
        <v>1089.2853055034784</v>
      </c>
      <c r="K46" s="93"/>
      <c r="L46" s="61"/>
    </row>
    <row r="47" spans="1:12" ht="12">
      <c r="A47" s="43"/>
      <c r="B47" s="276"/>
      <c r="C47" s="277"/>
      <c r="D47" s="278" t="s">
        <v>320</v>
      </c>
      <c r="E47" s="279">
        <f>G44-F32</f>
        <v>503</v>
      </c>
      <c r="F47" s="280">
        <f>E47/30</f>
        <v>16.766666666666666</v>
      </c>
      <c r="G47" s="281" t="s">
        <v>493</v>
      </c>
      <c r="H47" s="282"/>
      <c r="I47" s="283"/>
      <c r="J47" s="607"/>
      <c r="K47" s="96"/>
      <c r="L47" s="61"/>
    </row>
    <row r="48" spans="1:12" ht="12">
      <c r="A48" s="9"/>
      <c r="B48" s="160" t="s">
        <v>295</v>
      </c>
      <c r="C48" s="161"/>
      <c r="D48" s="255"/>
      <c r="E48" s="210"/>
      <c r="F48" s="210"/>
      <c r="G48" s="250"/>
      <c r="H48" s="438" t="s">
        <v>103</v>
      </c>
      <c r="I48" s="169"/>
      <c r="J48" s="601">
        <f>'5 Marketing Estimate'!G23</f>
        <v>1843.6518055034785</v>
      </c>
      <c r="K48" s="93"/>
      <c r="L48" s="61"/>
    </row>
    <row r="49" spans="1:12" ht="12">
      <c r="A49" s="9"/>
      <c r="B49" s="160" t="s">
        <v>98</v>
      </c>
      <c r="C49" s="161"/>
      <c r="D49" s="255"/>
      <c r="E49" s="210"/>
      <c r="F49" s="210"/>
      <c r="G49" s="228"/>
      <c r="H49" s="438" t="s">
        <v>180</v>
      </c>
      <c r="I49" s="169"/>
      <c r="J49" s="601">
        <f>'5 Marketing Estimate'!G45</f>
        <v>2244.5883768000003</v>
      </c>
      <c r="K49" s="93"/>
      <c r="L49" s="61"/>
    </row>
    <row r="50" spans="1:12" ht="12.75" thickBot="1">
      <c r="A50" s="9"/>
      <c r="B50" s="214" t="s">
        <v>471</v>
      </c>
      <c r="C50" s="186"/>
      <c r="D50" s="285"/>
      <c r="E50" s="186"/>
      <c r="F50" s="186"/>
      <c r="G50" s="286"/>
      <c r="H50" s="184" t="s">
        <v>104</v>
      </c>
      <c r="I50" s="288"/>
      <c r="J50" s="608">
        <f>J49-J48</f>
        <v>400.93657129652183</v>
      </c>
      <c r="K50" s="93"/>
      <c r="L50" s="61"/>
    </row>
  </sheetData>
  <sheetProtection sheet="1" objects="1" scenarios="1" selectLockedCells="1"/>
  <mergeCells count="6">
    <mergeCell ref="B29:J29"/>
    <mergeCell ref="B7:J7"/>
    <mergeCell ref="H8:J8"/>
    <mergeCell ref="B15:E15"/>
    <mergeCell ref="F15:G15"/>
    <mergeCell ref="H15:J15"/>
  </mergeCells>
  <printOptions/>
  <pageMargins left="0.4600000000000001" right="0.4" top="0.9200000000000002" bottom="0.7500000000000001" header="0.30000000000000004" footer="0.30000000000000004"/>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sheetPr codeName="Sheet11"/>
  <dimension ref="A1:K24"/>
  <sheetViews>
    <sheetView zoomScale="115" zoomScaleNormal="115" zoomScalePageLayoutView="0" workbookViewId="0" topLeftCell="A1">
      <selection activeCell="A76" sqref="A76:IV76"/>
    </sheetView>
  </sheetViews>
  <sheetFormatPr defaultColWidth="8.875" defaultRowHeight="12.75"/>
  <cols>
    <col min="1" max="1" width="23.625" style="0" customWidth="1"/>
    <col min="2" max="2" width="20.625" style="0" hidden="1" customWidth="1"/>
    <col min="3" max="6" width="8.875" style="0" hidden="1" customWidth="1"/>
    <col min="7" max="7" width="20.125" style="0" hidden="1" customWidth="1"/>
    <col min="8" max="8" width="0" style="0" hidden="1" customWidth="1"/>
  </cols>
  <sheetData>
    <row r="1" spans="1:11" ht="16.5" thickBot="1">
      <c r="A1" s="824" t="s">
        <v>173</v>
      </c>
      <c r="B1" s="824"/>
      <c r="C1" s="824"/>
      <c r="D1" s="824"/>
      <c r="E1" s="824"/>
      <c r="F1" s="824"/>
      <c r="G1" s="824"/>
      <c r="H1" s="824"/>
      <c r="I1" s="824"/>
      <c r="K1" s="159" t="s">
        <v>174</v>
      </c>
    </row>
    <row r="2" spans="1:11" ht="12">
      <c r="A2" s="622"/>
      <c r="B2" s="623"/>
      <c r="C2" s="624"/>
      <c r="D2" s="623"/>
      <c r="E2" s="624" t="s">
        <v>303</v>
      </c>
      <c r="F2" s="624" t="s">
        <v>485</v>
      </c>
      <c r="G2" s="624" t="s">
        <v>407</v>
      </c>
      <c r="H2" s="625" t="s">
        <v>517</v>
      </c>
      <c r="I2" s="626" t="s">
        <v>488</v>
      </c>
      <c r="K2" s="250" t="s">
        <v>92</v>
      </c>
    </row>
    <row r="3" spans="1:9" ht="12">
      <c r="A3" s="160" t="s">
        <v>130</v>
      </c>
      <c r="B3" s="161"/>
      <c r="C3" s="226" t="s">
        <v>257</v>
      </c>
      <c r="D3" s="227" t="s">
        <v>258</v>
      </c>
      <c r="E3" s="228" t="s">
        <v>487</v>
      </c>
      <c r="F3" s="228" t="s">
        <v>487</v>
      </c>
      <c r="G3" s="164"/>
      <c r="H3" s="164"/>
      <c r="I3" s="627"/>
    </row>
    <row r="4" spans="1:9" ht="12">
      <c r="A4" s="176" t="s">
        <v>91</v>
      </c>
      <c r="B4" s="229"/>
      <c r="C4" s="300">
        <v>1000</v>
      </c>
      <c r="D4" s="230">
        <f>C4+G4*H4</f>
        <v>1138</v>
      </c>
      <c r="E4" s="301">
        <v>39583</v>
      </c>
      <c r="F4" s="301">
        <v>39721</v>
      </c>
      <c r="G4" s="201">
        <f>F4-E4</f>
        <v>138</v>
      </c>
      <c r="H4" s="295">
        <v>1</v>
      </c>
      <c r="I4" s="599">
        <f>'9 Profit &amp; Loss'!J32</f>
        <v>1.3559155438921406</v>
      </c>
    </row>
    <row r="5" spans="1:9" ht="12">
      <c r="A5" s="176" t="s">
        <v>314</v>
      </c>
      <c r="B5" s="229"/>
      <c r="C5" s="232">
        <f>D4</f>
        <v>1138</v>
      </c>
      <c r="D5" s="230">
        <f>C5+G5*H5</f>
        <v>1138</v>
      </c>
      <c r="E5" s="233">
        <f>F4</f>
        <v>39721</v>
      </c>
      <c r="F5" s="301">
        <v>39782</v>
      </c>
      <c r="G5" s="201">
        <f>F5-E5</f>
        <v>61</v>
      </c>
      <c r="H5" s="295">
        <v>0</v>
      </c>
      <c r="I5" s="599">
        <f>'9 Profit &amp; Loss'!J33</f>
        <v>1.4580182043855454</v>
      </c>
    </row>
    <row r="6" spans="1:9" ht="12">
      <c r="A6" s="176" t="s">
        <v>56</v>
      </c>
      <c r="B6" s="234"/>
      <c r="C6" s="235">
        <f>D5</f>
        <v>1138</v>
      </c>
      <c r="D6" s="236">
        <f>C6+G6*H6</f>
        <v>1055</v>
      </c>
      <c r="E6" s="237">
        <f>F5</f>
        <v>39782</v>
      </c>
      <c r="F6" s="301">
        <v>39948</v>
      </c>
      <c r="G6" s="206">
        <f>F6-E6</f>
        <v>166</v>
      </c>
      <c r="H6" s="295">
        <v>-0.5</v>
      </c>
      <c r="I6" s="600">
        <f>'9 Profit &amp; Loss'!J34</f>
        <v>1.7061756496952287</v>
      </c>
    </row>
    <row r="7" spans="1:9" ht="12">
      <c r="A7" s="239" t="s">
        <v>176</v>
      </c>
      <c r="B7" s="177"/>
      <c r="C7" s="240"/>
      <c r="D7" s="241"/>
      <c r="E7" s="227"/>
      <c r="F7" s="227"/>
      <c r="G7" s="242">
        <f>SUM(G4:G6)</f>
        <v>365</v>
      </c>
      <c r="H7" s="243"/>
      <c r="I7" s="601"/>
    </row>
    <row r="8" spans="1:9" ht="12">
      <c r="A8" s="176" t="s">
        <v>55</v>
      </c>
      <c r="B8" s="245"/>
      <c r="C8" s="302">
        <f>D12</f>
        <v>904</v>
      </c>
      <c r="D8" s="246">
        <f>C8+G8*H8</f>
        <v>1076.5</v>
      </c>
      <c r="E8" s="247">
        <f>E15</f>
        <v>39948</v>
      </c>
      <c r="F8" s="301">
        <v>40086</v>
      </c>
      <c r="G8" s="246">
        <f>F8-E8</f>
        <v>138</v>
      </c>
      <c r="H8" s="295">
        <v>1.25</v>
      </c>
      <c r="I8" s="602">
        <f>'9 Profit &amp; Loss'!J36</f>
        <v>1.3559155438921406</v>
      </c>
    </row>
    <row r="9" spans="1:9" ht="12">
      <c r="A9" s="451" t="str">
        <f>'9 Profit &amp; Loss'!H37</f>
        <v>Cost weaned calf</v>
      </c>
      <c r="B9" s="177"/>
      <c r="C9" s="249"/>
      <c r="D9" s="241"/>
      <c r="E9" s="250"/>
      <c r="F9" s="250"/>
      <c r="G9" s="251" t="s">
        <v>200</v>
      </c>
      <c r="H9" s="243"/>
      <c r="I9" s="603">
        <f>(I4*G4)+(I5*G5)+(I6*G6)</f>
        <v>559.2806133740416</v>
      </c>
    </row>
    <row r="10" spans="1:9" ht="12">
      <c r="A10" s="253" t="s">
        <v>321</v>
      </c>
      <c r="B10" s="254"/>
      <c r="C10" s="255"/>
      <c r="D10" s="164"/>
      <c r="E10" s="164"/>
      <c r="F10" s="164"/>
      <c r="G10" s="201"/>
      <c r="H10" s="256"/>
      <c r="I10" s="604"/>
    </row>
    <row r="11" spans="1:9" ht="12">
      <c r="A11" s="258" t="s">
        <v>298</v>
      </c>
      <c r="B11" s="259"/>
      <c r="C11" s="255"/>
      <c r="D11" s="260"/>
      <c r="E11" s="261" t="s">
        <v>487</v>
      </c>
      <c r="F11" s="228" t="s">
        <v>487</v>
      </c>
      <c r="G11" s="260"/>
      <c r="H11" s="256"/>
      <c r="I11" s="605"/>
    </row>
    <row r="12" spans="1:9" ht="12">
      <c r="A12" s="176" t="s">
        <v>96</v>
      </c>
      <c r="B12" s="229"/>
      <c r="C12" s="302">
        <v>450</v>
      </c>
      <c r="D12" s="164">
        <f>C12+G12*H12</f>
        <v>904</v>
      </c>
      <c r="E12" s="263">
        <f>F4</f>
        <v>39721</v>
      </c>
      <c r="F12" s="301">
        <v>39948</v>
      </c>
      <c r="G12" s="201">
        <f>F12-E12</f>
        <v>227</v>
      </c>
      <c r="H12" s="295">
        <v>2</v>
      </c>
      <c r="I12" s="599">
        <f>'9 Profit &amp; Loss'!J40</f>
        <v>1.4966344356687609</v>
      </c>
    </row>
    <row r="13" spans="1:9" ht="12">
      <c r="A13" s="239" t="s">
        <v>176</v>
      </c>
      <c r="B13" s="177"/>
      <c r="C13" s="240"/>
      <c r="D13" s="241"/>
      <c r="E13" s="264"/>
      <c r="F13" s="264"/>
      <c r="G13" s="265" t="s">
        <v>287</v>
      </c>
      <c r="H13" s="266"/>
      <c r="I13" s="603">
        <f>I12*G12</f>
        <v>339.73601689680874</v>
      </c>
    </row>
    <row r="14" spans="1:9" ht="12">
      <c r="A14" s="258" t="s">
        <v>299</v>
      </c>
      <c r="B14" s="267"/>
      <c r="C14" s="268"/>
      <c r="D14" s="269"/>
      <c r="E14" s="270" t="s">
        <v>487</v>
      </c>
      <c r="F14" s="228" t="s">
        <v>487</v>
      </c>
      <c r="G14" s="269"/>
      <c r="H14" s="256"/>
      <c r="I14" s="606"/>
    </row>
    <row r="15" spans="1:9" ht="12">
      <c r="A15" s="176" t="s">
        <v>182</v>
      </c>
      <c r="B15" s="229"/>
      <c r="C15" s="255">
        <f>D12</f>
        <v>904</v>
      </c>
      <c r="D15" s="201">
        <f>C15+G15*H15</f>
        <v>1041.25</v>
      </c>
      <c r="E15" s="263">
        <f>F12</f>
        <v>39948</v>
      </c>
      <c r="F15" s="301">
        <v>40009</v>
      </c>
      <c r="G15" s="201">
        <f>F15-E15</f>
        <v>61</v>
      </c>
      <c r="H15" s="295">
        <v>2.25</v>
      </c>
      <c r="I15" s="599">
        <f>'9 Profit &amp; Loss'!J43</f>
        <v>0.6863955498209262</v>
      </c>
    </row>
    <row r="16" spans="1:9" ht="12">
      <c r="A16" s="176" t="s">
        <v>317</v>
      </c>
      <c r="B16" s="234"/>
      <c r="C16" s="268">
        <f>D15</f>
        <v>1041.25</v>
      </c>
      <c r="D16" s="206">
        <f>C16+G16*H16</f>
        <v>1214.5</v>
      </c>
      <c r="E16" s="272">
        <f>F15</f>
        <v>40009</v>
      </c>
      <c r="F16" s="301">
        <v>40086</v>
      </c>
      <c r="G16" s="206">
        <f>F16-E16</f>
        <v>77</v>
      </c>
      <c r="H16" s="295">
        <v>2.25</v>
      </c>
      <c r="I16" s="600">
        <f>'9 Profit &amp; Loss'!J44</f>
        <v>1.9272538531630068</v>
      </c>
    </row>
    <row r="17" spans="1:9" ht="12">
      <c r="A17" s="176" t="s">
        <v>181</v>
      </c>
      <c r="B17" s="229"/>
      <c r="C17" s="255"/>
      <c r="D17" s="201"/>
      <c r="E17" s="273"/>
      <c r="F17" s="273"/>
      <c r="G17" s="274"/>
      <c r="H17" s="275"/>
      <c r="I17" s="603">
        <f>(I15*G15)+(I16*G16)</f>
        <v>190.268675232628</v>
      </c>
    </row>
    <row r="18" spans="1:9" ht="12">
      <c r="A18" s="176" t="s">
        <v>288</v>
      </c>
      <c r="B18" s="229"/>
      <c r="C18" s="255"/>
      <c r="D18" s="201"/>
      <c r="E18" s="273"/>
      <c r="F18" s="273"/>
      <c r="G18" s="265"/>
      <c r="H18" s="266"/>
      <c r="I18" s="603">
        <f>I9+I13+I17</f>
        <v>1089.2853055034784</v>
      </c>
    </row>
    <row r="19" spans="1:9" ht="12">
      <c r="A19" s="276"/>
      <c r="B19" s="277"/>
      <c r="C19" s="278" t="s">
        <v>320</v>
      </c>
      <c r="D19" s="279">
        <f>F16-E4</f>
        <v>503</v>
      </c>
      <c r="E19" s="280">
        <f>D19/30</f>
        <v>16.766666666666666</v>
      </c>
      <c r="F19" s="281" t="s">
        <v>493</v>
      </c>
      <c r="G19" s="282"/>
      <c r="H19" s="283"/>
      <c r="I19" s="607"/>
    </row>
    <row r="20" spans="1:9" ht="24">
      <c r="A20" s="582" t="s">
        <v>101</v>
      </c>
      <c r="B20" s="161"/>
      <c r="C20" s="255"/>
      <c r="D20" s="210"/>
      <c r="E20" s="210"/>
      <c r="F20" s="250"/>
      <c r="G20" s="251"/>
      <c r="H20" s="169"/>
      <c r="I20" s="603">
        <f>'9 Profit &amp; Loss'!J48</f>
        <v>1843.6518055034785</v>
      </c>
    </row>
    <row r="21" spans="1:9" ht="12">
      <c r="A21" s="582"/>
      <c r="B21" s="161"/>
      <c r="C21" s="255"/>
      <c r="D21" s="210"/>
      <c r="E21" s="210"/>
      <c r="F21" s="250"/>
      <c r="G21" s="251"/>
      <c r="H21" s="169"/>
      <c r="I21" s="603"/>
    </row>
    <row r="22" spans="1:9" ht="15.75" customHeight="1">
      <c r="A22" s="160" t="s">
        <v>180</v>
      </c>
      <c r="B22" s="161"/>
      <c r="C22" s="255"/>
      <c r="D22" s="210"/>
      <c r="E22" s="210"/>
      <c r="F22" s="228"/>
      <c r="G22" s="251"/>
      <c r="H22" s="169"/>
      <c r="I22" s="603">
        <f>'9 Profit &amp; Loss'!J49</f>
        <v>2244.5883768000003</v>
      </c>
    </row>
    <row r="23" spans="1:9" ht="15.75" customHeight="1">
      <c r="A23" s="160"/>
      <c r="B23" s="161"/>
      <c r="C23" s="255"/>
      <c r="D23" s="210"/>
      <c r="E23" s="210"/>
      <c r="F23" s="228"/>
      <c r="G23" s="251"/>
      <c r="H23" s="169"/>
      <c r="I23" s="601"/>
    </row>
    <row r="24" spans="1:9" ht="36.75" thickBot="1">
      <c r="A24" s="581" t="s">
        <v>99</v>
      </c>
      <c r="B24" s="186"/>
      <c r="C24" s="285"/>
      <c r="D24" s="186"/>
      <c r="E24" s="186"/>
      <c r="F24" s="286"/>
      <c r="G24" s="287"/>
      <c r="H24" s="288"/>
      <c r="I24" s="608">
        <f>I22-I20</f>
        <v>400.93657129652183</v>
      </c>
    </row>
  </sheetData>
  <sheetProtection/>
  <mergeCells count="1">
    <mergeCell ref="A1:I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4:T50"/>
  <sheetViews>
    <sheetView showOutlineSymbols="0" defaultGridColor="0" zoomScaleSheetLayoutView="100" zoomScalePageLayoutView="0" colorId="55" workbookViewId="0" topLeftCell="A1">
      <selection activeCell="D8" sqref="D8"/>
    </sheetView>
  </sheetViews>
  <sheetFormatPr defaultColWidth="9.00390625" defaultRowHeight="12.75"/>
  <cols>
    <col min="1" max="1" width="2.625" style="9" customWidth="1"/>
    <col min="2" max="2" width="26.125" style="5" customWidth="1"/>
    <col min="3" max="3" width="5.375" style="5" customWidth="1"/>
    <col min="4" max="4" width="5.625" style="11" customWidth="1"/>
    <col min="5" max="5" width="7.125" style="5" customWidth="1"/>
    <col min="6" max="6" width="10.125" style="5" customWidth="1"/>
    <col min="7" max="7" width="11.625" style="19" customWidth="1"/>
    <col min="8" max="8" width="6.00390625" style="19" customWidth="1"/>
    <col min="9" max="9" width="7.625" style="41" customWidth="1"/>
    <col min="10" max="10" width="10.375" style="49" customWidth="1"/>
    <col min="11" max="11" width="7.625" style="97" customWidth="1"/>
    <col min="12" max="12" width="35.625" style="61" customWidth="1"/>
    <col min="13" max="13" width="16.125" style="5" customWidth="1"/>
    <col min="14" max="18" width="9.00390625" style="47" customWidth="1"/>
    <col min="19" max="16384" width="9.00390625" style="9" customWidth="1"/>
  </cols>
  <sheetData>
    <row r="1" ht="15" customHeight="1"/>
    <row r="2" ht="31.5" customHeight="1"/>
    <row r="3" ht="15" customHeight="1"/>
    <row r="4" spans="2:11" ht="30.75" customHeight="1">
      <c r="B4" s="780" t="s">
        <v>558</v>
      </c>
      <c r="C4" s="781"/>
      <c r="D4" s="781"/>
      <c r="E4" s="781"/>
      <c r="F4" s="781"/>
      <c r="G4" s="781"/>
      <c r="H4" s="781"/>
      <c r="I4" s="781"/>
      <c r="J4" s="781"/>
      <c r="K4" s="638"/>
    </row>
    <row r="5" ht="21.75" customHeight="1"/>
    <row r="6" spans="1:20" s="665" customFormat="1" ht="15" customHeight="1" thickBot="1">
      <c r="A6" s="666"/>
      <c r="B6" s="782" t="s">
        <v>559</v>
      </c>
      <c r="C6" s="782"/>
      <c r="D6" s="783"/>
      <c r="E6" s="783"/>
      <c r="F6" s="783"/>
      <c r="G6" s="783"/>
      <c r="H6" s="783"/>
      <c r="I6" s="783"/>
      <c r="J6" s="783"/>
      <c r="K6" s="667"/>
      <c r="L6" s="668" t="s">
        <v>173</v>
      </c>
      <c r="M6" s="663"/>
      <c r="N6" s="664"/>
      <c r="O6" s="664"/>
      <c r="P6" s="664"/>
      <c r="Q6" s="664"/>
      <c r="R6" s="664"/>
      <c r="S6" s="664"/>
      <c r="T6" s="664"/>
    </row>
    <row r="7" spans="2:13" s="303" customFormat="1" ht="12.75" customHeight="1">
      <c r="B7" s="792" t="s">
        <v>473</v>
      </c>
      <c r="C7" s="793"/>
      <c r="D7" s="793"/>
      <c r="E7" s="793"/>
      <c r="F7" s="793"/>
      <c r="G7" s="793"/>
      <c r="H7" s="793"/>
      <c r="I7" s="793"/>
      <c r="J7" s="794"/>
      <c r="K7" s="639"/>
      <c r="L7" s="641"/>
      <c r="M7" s="652" t="str">
        <f>Summary!I2</f>
        <v>Cost/day</v>
      </c>
    </row>
    <row r="8" spans="2:18" s="291" customFormat="1" ht="12.75" customHeight="1">
      <c r="B8" s="160" t="s">
        <v>65</v>
      </c>
      <c r="C8" s="161"/>
      <c r="D8" s="293">
        <v>640</v>
      </c>
      <c r="E8" s="162" t="s">
        <v>212</v>
      </c>
      <c r="F8" s="163" t="s">
        <v>214</v>
      </c>
      <c r="G8" s="164"/>
      <c r="H8" s="795" t="s">
        <v>19</v>
      </c>
      <c r="I8" s="796"/>
      <c r="J8" s="797"/>
      <c r="K8" s="87"/>
      <c r="L8" s="642" t="s">
        <v>130</v>
      </c>
      <c r="M8" s="651"/>
      <c r="N8" s="290"/>
      <c r="O8" s="290"/>
      <c r="P8" s="290"/>
      <c r="Q8" s="290"/>
      <c r="R8" s="290"/>
    </row>
    <row r="9" spans="2:13" ht="12.75" customHeight="1">
      <c r="B9" s="160"/>
      <c r="C9" s="161"/>
      <c r="D9" s="165"/>
      <c r="E9" s="166" t="s">
        <v>213</v>
      </c>
      <c r="F9" s="167" t="s">
        <v>215</v>
      </c>
      <c r="G9" s="164"/>
      <c r="H9" s="168"/>
      <c r="I9" s="169"/>
      <c r="J9" s="170"/>
      <c r="K9" s="87"/>
      <c r="L9" s="643" t="s">
        <v>91</v>
      </c>
      <c r="M9" s="653">
        <f>Summary!I4</f>
        <v>1.3559155438921406</v>
      </c>
    </row>
    <row r="10" spans="2:13" ht="12.75" customHeight="1">
      <c r="B10" s="171" t="s">
        <v>259</v>
      </c>
      <c r="C10" s="172"/>
      <c r="D10" s="292">
        <v>230</v>
      </c>
      <c r="E10" s="295">
        <v>1.5</v>
      </c>
      <c r="F10" s="173">
        <f>D10*E10</f>
        <v>345</v>
      </c>
      <c r="G10" s="164"/>
      <c r="H10" s="174"/>
      <c r="I10" s="169"/>
      <c r="J10" s="175"/>
      <c r="K10" s="82"/>
      <c r="L10" s="643" t="s">
        <v>314</v>
      </c>
      <c r="M10" s="653">
        <f>Summary!I5</f>
        <v>1.4580182043855454</v>
      </c>
    </row>
    <row r="11" spans="2:13" ht="12.75" customHeight="1">
      <c r="B11" s="176" t="s">
        <v>66</v>
      </c>
      <c r="C11" s="177"/>
      <c r="D11" s="292">
        <v>150</v>
      </c>
      <c r="E11" s="295">
        <v>2</v>
      </c>
      <c r="F11" s="173">
        <f>D11*E11</f>
        <v>300</v>
      </c>
      <c r="G11" s="164"/>
      <c r="H11" s="178"/>
      <c r="I11" s="169"/>
      <c r="J11" s="170"/>
      <c r="K11" s="87"/>
      <c r="L11" s="643" t="s">
        <v>56</v>
      </c>
      <c r="M11" s="654">
        <f>Summary!I6</f>
        <v>1.7061756496952287</v>
      </c>
    </row>
    <row r="12" spans="2:13" ht="12.75" customHeight="1">
      <c r="B12" s="176" t="s">
        <v>67</v>
      </c>
      <c r="C12" s="177"/>
      <c r="D12" s="179">
        <f>D8-D10-D11</f>
        <v>260</v>
      </c>
      <c r="E12" s="295">
        <v>2</v>
      </c>
      <c r="F12" s="173">
        <f>D12*E12</f>
        <v>520</v>
      </c>
      <c r="G12" s="164"/>
      <c r="H12" s="178"/>
      <c r="I12" s="169"/>
      <c r="J12" s="170"/>
      <c r="K12" s="87"/>
      <c r="L12" s="644" t="s">
        <v>176</v>
      </c>
      <c r="M12" s="655"/>
    </row>
    <row r="13" spans="2:13" ht="12.75" customHeight="1">
      <c r="B13" s="176" t="s">
        <v>68</v>
      </c>
      <c r="C13" s="294">
        <v>1</v>
      </c>
      <c r="D13" s="180"/>
      <c r="E13" s="181"/>
      <c r="F13" s="182">
        <f>C13</f>
        <v>1</v>
      </c>
      <c r="G13" s="164"/>
      <c r="H13" s="178"/>
      <c r="I13" s="169"/>
      <c r="J13" s="170"/>
      <c r="K13" s="87"/>
      <c r="L13" s="643" t="s">
        <v>55</v>
      </c>
      <c r="M13" s="656">
        <f>Summary!I8</f>
        <v>1.3559155438921406</v>
      </c>
    </row>
    <row r="14" spans="2:13" ht="12.75" customHeight="1" thickBot="1">
      <c r="B14" s="183" t="s">
        <v>176</v>
      </c>
      <c r="C14" s="184"/>
      <c r="D14" s="185">
        <f>SUM(D10:D12)</f>
        <v>640</v>
      </c>
      <c r="E14" s="186"/>
      <c r="F14" s="187">
        <f>SUM(F10:F13)</f>
        <v>1166</v>
      </c>
      <c r="G14" s="188"/>
      <c r="H14" s="189"/>
      <c r="I14" s="190" t="s">
        <v>323</v>
      </c>
      <c r="J14" s="191">
        <f>F14</f>
        <v>1166</v>
      </c>
      <c r="K14" s="88"/>
      <c r="L14" s="645"/>
      <c r="M14" s="657">
        <f>Summary!I9</f>
        <v>559.2806133740416</v>
      </c>
    </row>
    <row r="15" spans="2:13" ht="12.75" customHeight="1">
      <c r="B15" s="790" t="s">
        <v>474</v>
      </c>
      <c r="C15" s="791"/>
      <c r="D15" s="791"/>
      <c r="E15" s="791"/>
      <c r="F15" s="784" t="s">
        <v>259</v>
      </c>
      <c r="G15" s="785"/>
      <c r="H15" s="787" t="s">
        <v>67</v>
      </c>
      <c r="I15" s="788"/>
      <c r="J15" s="789"/>
      <c r="K15" s="89"/>
      <c r="L15" s="646" t="s">
        <v>321</v>
      </c>
      <c r="M15" s="658"/>
    </row>
    <row r="16" spans="2:13" ht="12.75" customHeight="1">
      <c r="B16" s="192"/>
      <c r="C16" s="193"/>
      <c r="D16" s="589"/>
      <c r="E16" s="590" t="s">
        <v>318</v>
      </c>
      <c r="F16" s="591" t="s">
        <v>69</v>
      </c>
      <c r="G16" s="592" t="s">
        <v>319</v>
      </c>
      <c r="H16" s="593" t="s">
        <v>318</v>
      </c>
      <c r="I16" s="594" t="s">
        <v>302</v>
      </c>
      <c r="J16" s="592" t="s">
        <v>319</v>
      </c>
      <c r="K16" s="640"/>
      <c r="L16" s="647" t="s">
        <v>298</v>
      </c>
      <c r="M16" s="659"/>
    </row>
    <row r="17" spans="2:13" ht="12.75" customHeight="1">
      <c r="B17" s="194"/>
      <c r="C17" s="195"/>
      <c r="D17" s="595" t="s">
        <v>486</v>
      </c>
      <c r="E17" s="596" t="s">
        <v>3</v>
      </c>
      <c r="F17" s="597" t="s">
        <v>577</v>
      </c>
      <c r="G17" s="592" t="s">
        <v>261</v>
      </c>
      <c r="H17" s="591" t="s">
        <v>3</v>
      </c>
      <c r="I17" s="598" t="s">
        <v>336</v>
      </c>
      <c r="J17" s="592" t="s">
        <v>261</v>
      </c>
      <c r="K17" s="640"/>
      <c r="L17" s="643" t="s">
        <v>96</v>
      </c>
      <c r="M17" s="653">
        <f>Summary!I12</f>
        <v>1.4966344356687609</v>
      </c>
    </row>
    <row r="18" spans="2:13" ht="12.75" customHeight="1">
      <c r="B18" s="196" t="s">
        <v>301</v>
      </c>
      <c r="C18" s="197"/>
      <c r="D18" s="292">
        <v>100</v>
      </c>
      <c r="E18" s="198">
        <f>(D32+E32)/2</f>
        <v>1069</v>
      </c>
      <c r="F18" s="298">
        <v>0.03</v>
      </c>
      <c r="G18" s="199">
        <f>(D18*E18*F18*H32)/2000</f>
        <v>221.283</v>
      </c>
      <c r="H18" s="200"/>
      <c r="I18" s="299">
        <v>0.025</v>
      </c>
      <c r="J18" s="199">
        <f>D18*E18*I18*H34/2000</f>
        <v>221.8175</v>
      </c>
      <c r="K18" s="91"/>
      <c r="L18" s="644" t="s">
        <v>176</v>
      </c>
      <c r="M18" s="657">
        <f>Summary!I13</f>
        <v>339.73601689680874</v>
      </c>
    </row>
    <row r="19" spans="2:13" ht="12.75" customHeight="1">
      <c r="B19" s="176" t="s">
        <v>20</v>
      </c>
      <c r="C19" s="296">
        <v>0.04</v>
      </c>
      <c r="D19" s="201">
        <f>D18*C19</f>
        <v>4</v>
      </c>
      <c r="E19" s="201">
        <v>1500</v>
      </c>
      <c r="F19" s="298">
        <v>0.03</v>
      </c>
      <c r="G19" s="202">
        <f>D19*E19*F19*H32/2000</f>
        <v>12.42</v>
      </c>
      <c r="H19" s="203"/>
      <c r="I19" s="299">
        <v>0.025</v>
      </c>
      <c r="J19" s="202">
        <f>D19*E19*F19*H34/2000</f>
        <v>14.94</v>
      </c>
      <c r="K19" s="91"/>
      <c r="L19" s="647" t="s">
        <v>299</v>
      </c>
      <c r="M19" s="660"/>
    </row>
    <row r="20" spans="2:13" ht="12.75" customHeight="1">
      <c r="B20" s="176" t="s">
        <v>2</v>
      </c>
      <c r="C20" s="296">
        <v>0.12</v>
      </c>
      <c r="D20" s="201">
        <f>D18*C20</f>
        <v>12</v>
      </c>
      <c r="E20" s="201">
        <f>(D36+E36)/2</f>
        <v>990.25</v>
      </c>
      <c r="F20" s="298">
        <v>0.03</v>
      </c>
      <c r="G20" s="202">
        <f>D20*E20*F20*H32/2000</f>
        <v>24.597810000000003</v>
      </c>
      <c r="H20" s="203"/>
      <c r="I20" s="299">
        <v>0.03</v>
      </c>
      <c r="J20" s="202">
        <f>D20*E20*I20*H34/2000</f>
        <v>29.58867</v>
      </c>
      <c r="K20" s="91"/>
      <c r="L20" s="643" t="s">
        <v>182</v>
      </c>
      <c r="M20" s="653">
        <f>Summary!I15</f>
        <v>0.6863955498209262</v>
      </c>
    </row>
    <row r="21" spans="2:13" ht="12.75" customHeight="1">
      <c r="B21" s="204" t="s">
        <v>21</v>
      </c>
      <c r="C21" s="205"/>
      <c r="D21" s="206">
        <f>D18+D19+D20</f>
        <v>116</v>
      </c>
      <c r="E21" s="206">
        <f>(D33+E33)/2</f>
        <v>1138</v>
      </c>
      <c r="F21" s="298">
        <v>0.03</v>
      </c>
      <c r="G21" s="207">
        <f>(D21*E21*F21*H33)/2000</f>
        <v>120.78732</v>
      </c>
      <c r="H21" s="208"/>
      <c r="I21" s="209"/>
      <c r="J21" s="207"/>
      <c r="K21" s="91"/>
      <c r="L21" s="643" t="s">
        <v>317</v>
      </c>
      <c r="M21" s="654">
        <f>Summary!I16</f>
        <v>1.9272538531630068</v>
      </c>
    </row>
    <row r="22" spans="2:13" ht="12.75" customHeight="1">
      <c r="B22" s="160" t="s">
        <v>78</v>
      </c>
      <c r="C22" s="161"/>
      <c r="D22" s="201"/>
      <c r="E22" s="210"/>
      <c r="F22" s="203"/>
      <c r="G22" s="211"/>
      <c r="H22" s="203"/>
      <c r="I22" s="164"/>
      <c r="J22" s="212"/>
      <c r="K22" s="65"/>
      <c r="L22" s="643" t="s">
        <v>181</v>
      </c>
      <c r="M22" s="657">
        <f>Summary!I17</f>
        <v>190.268675232628</v>
      </c>
    </row>
    <row r="23" spans="2:13" ht="12.75" customHeight="1">
      <c r="B23" s="176" t="s">
        <v>77</v>
      </c>
      <c r="C23" s="213"/>
      <c r="D23" s="201">
        <f>D25-D20</f>
        <v>83</v>
      </c>
      <c r="E23" s="201">
        <f>(D43+E43)/2</f>
        <v>972.625</v>
      </c>
      <c r="F23" s="298">
        <v>0.0325</v>
      </c>
      <c r="G23" s="202">
        <f>D23*E23*F23*H43/2000</f>
        <v>80.02150609375</v>
      </c>
      <c r="H23" s="203">
        <f>(D40+E40)/2</f>
        <v>677</v>
      </c>
      <c r="I23" s="299">
        <v>0.033</v>
      </c>
      <c r="J23" s="202">
        <f>(D23*H23*I23*H40)/2000</f>
        <v>210.4633905</v>
      </c>
      <c r="K23" s="91"/>
      <c r="L23" s="643" t="s">
        <v>288</v>
      </c>
      <c r="M23" s="657">
        <f>Summary!I18</f>
        <v>1089.2853055034784</v>
      </c>
    </row>
    <row r="24" spans="2:13" ht="12.75" customHeight="1">
      <c r="B24" s="204" t="s">
        <v>70</v>
      </c>
      <c r="C24" s="177"/>
      <c r="D24" s="206">
        <f>D23</f>
        <v>83</v>
      </c>
      <c r="E24" s="206">
        <f>(D44+E44)/2</f>
        <v>1127.875</v>
      </c>
      <c r="F24" s="298">
        <v>0.0325</v>
      </c>
      <c r="G24" s="207">
        <f>(D24*E24*F24*H44)/2000</f>
        <v>117.13404828125</v>
      </c>
      <c r="H24" s="208"/>
      <c r="I24" s="209"/>
      <c r="J24" s="207"/>
      <c r="K24" s="91"/>
      <c r="L24" s="648"/>
      <c r="M24" s="661"/>
    </row>
    <row r="25" spans="2:13" ht="12.75" customHeight="1" thickBot="1">
      <c r="B25" s="214" t="s">
        <v>205</v>
      </c>
      <c r="C25" s="297">
        <v>0.95</v>
      </c>
      <c r="D25" s="215">
        <f>D18*C25</f>
        <v>95</v>
      </c>
      <c r="E25" s="216"/>
      <c r="F25" s="217"/>
      <c r="G25" s="191">
        <f>SUM(G18:G24)</f>
        <v>576.243684375</v>
      </c>
      <c r="H25" s="218"/>
      <c r="I25" s="216"/>
      <c r="J25" s="191">
        <f>SUM(J18:J23)</f>
        <v>476.8095605</v>
      </c>
      <c r="K25" s="88"/>
      <c r="L25" s="649" t="s">
        <v>101</v>
      </c>
      <c r="M25" s="657">
        <f>Summary!I20</f>
        <v>1843.6518055034785</v>
      </c>
    </row>
    <row r="26" spans="2:13" ht="12.75" customHeight="1" thickBot="1">
      <c r="B26" s="616"/>
      <c r="C26" s="617"/>
      <c r="D26" s="618"/>
      <c r="E26" s="619"/>
      <c r="F26" s="615"/>
      <c r="G26" s="620" t="s">
        <v>316</v>
      </c>
      <c r="H26" s="616"/>
      <c r="I26" s="619" t="s">
        <v>176</v>
      </c>
      <c r="J26" s="621">
        <f>SUM(G25:J25)</f>
        <v>1053.053244875</v>
      </c>
      <c r="K26" s="88"/>
      <c r="L26" s="649"/>
      <c r="M26" s="657"/>
    </row>
    <row r="27" spans="2:13" s="40" customFormat="1" ht="12.75" customHeight="1">
      <c r="B27" s="38"/>
      <c r="C27" s="38"/>
      <c r="D27" s="81"/>
      <c r="E27" s="87"/>
      <c r="F27" s="612"/>
      <c r="G27" s="613"/>
      <c r="H27" s="38"/>
      <c r="I27" s="87"/>
      <c r="J27" s="88"/>
      <c r="K27" s="88"/>
      <c r="L27" s="642" t="s">
        <v>180</v>
      </c>
      <c r="M27" s="657">
        <f>Summary!I22</f>
        <v>2244.5883768000003</v>
      </c>
    </row>
    <row r="28" spans="2:18" s="43" customFormat="1" ht="12.75" customHeight="1">
      <c r="B28" s="38"/>
      <c r="C28" s="38"/>
      <c r="D28" s="81"/>
      <c r="E28" s="87"/>
      <c r="F28" s="612"/>
      <c r="G28" s="613"/>
      <c r="H28" s="38"/>
      <c r="I28" s="87"/>
      <c r="J28" s="88"/>
      <c r="K28" s="88"/>
      <c r="L28" s="642"/>
      <c r="M28" s="655"/>
      <c r="N28" s="48"/>
      <c r="O28" s="48"/>
      <c r="P28" s="48"/>
      <c r="Q28" s="48"/>
      <c r="R28" s="48"/>
    </row>
    <row r="29" spans="2:18" s="43" customFormat="1" ht="35.25" customHeight="1" thickBot="1">
      <c r="B29" s="786" t="s">
        <v>516</v>
      </c>
      <c r="C29" s="786"/>
      <c r="D29" s="786"/>
      <c r="E29" s="786"/>
      <c r="F29" s="786"/>
      <c r="G29" s="786"/>
      <c r="H29" s="786"/>
      <c r="I29" s="786"/>
      <c r="J29" s="786"/>
      <c r="K29" s="85"/>
      <c r="L29" s="650" t="s">
        <v>99</v>
      </c>
      <c r="M29" s="662">
        <f>Summary!I24</f>
        <v>400.93657129652183</v>
      </c>
      <c r="N29" s="48"/>
      <c r="O29" s="48"/>
      <c r="P29" s="48"/>
      <c r="Q29" s="48"/>
      <c r="R29" s="48"/>
    </row>
    <row r="30" spans="2:18" s="43" customFormat="1" ht="12.75">
      <c r="B30" s="221"/>
      <c r="C30" s="222"/>
      <c r="D30" s="223"/>
      <c r="E30" s="222"/>
      <c r="F30" s="223" t="s">
        <v>303</v>
      </c>
      <c r="G30" s="223" t="s">
        <v>485</v>
      </c>
      <c r="H30" s="223" t="s">
        <v>407</v>
      </c>
      <c r="I30" s="224" t="s">
        <v>79</v>
      </c>
      <c r="J30" s="225" t="s">
        <v>488</v>
      </c>
      <c r="K30" s="89"/>
      <c r="L30" s="60"/>
      <c r="M30" s="22"/>
      <c r="N30" s="48"/>
      <c r="O30" s="48"/>
      <c r="P30" s="48"/>
      <c r="Q30" s="48"/>
      <c r="R30" s="48"/>
    </row>
    <row r="31" spans="2:11" ht="21" customHeight="1">
      <c r="B31" s="160" t="s">
        <v>206</v>
      </c>
      <c r="C31" s="161"/>
      <c r="D31" s="226" t="s">
        <v>257</v>
      </c>
      <c r="E31" s="227" t="s">
        <v>258</v>
      </c>
      <c r="F31" s="228" t="s">
        <v>487</v>
      </c>
      <c r="G31" s="228" t="s">
        <v>487</v>
      </c>
      <c r="H31" s="164"/>
      <c r="I31" s="164"/>
      <c r="J31" s="212"/>
      <c r="K31" s="65"/>
    </row>
    <row r="32" spans="2:11" ht="12.75">
      <c r="B32" s="176" t="s">
        <v>91</v>
      </c>
      <c r="C32" s="229"/>
      <c r="D32" s="300">
        <v>1000</v>
      </c>
      <c r="E32" s="230">
        <f>D32+H32*I32</f>
        <v>1138</v>
      </c>
      <c r="F32" s="301">
        <v>39583</v>
      </c>
      <c r="G32" s="301">
        <v>39721</v>
      </c>
      <c r="H32" s="201">
        <f>G32-F32</f>
        <v>138</v>
      </c>
      <c r="I32" s="295">
        <v>1</v>
      </c>
      <c r="J32" s="231">
        <f>'2 Cow Calf Phase'!J52</f>
        <v>1.3559155438921406</v>
      </c>
      <c r="K32" s="92"/>
    </row>
    <row r="33" spans="2:12" ht="12.75">
      <c r="B33" s="176" t="s">
        <v>207</v>
      </c>
      <c r="C33" s="229"/>
      <c r="D33" s="232">
        <f>E32</f>
        <v>1138</v>
      </c>
      <c r="E33" s="230">
        <f>D33+H33*I33</f>
        <v>1138</v>
      </c>
      <c r="F33" s="233">
        <f>G32</f>
        <v>39721</v>
      </c>
      <c r="G33" s="301">
        <v>39782</v>
      </c>
      <c r="H33" s="201">
        <f>G33-F33</f>
        <v>61</v>
      </c>
      <c r="I33" s="295">
        <v>0</v>
      </c>
      <c r="J33" s="231">
        <f>'2 Cow Calf Phase'!J77</f>
        <v>1.4580182043855454</v>
      </c>
      <c r="K33" s="92"/>
      <c r="L33" s="140"/>
    </row>
    <row r="34" spans="2:11" ht="12.75">
      <c r="B34" s="176" t="s">
        <v>208</v>
      </c>
      <c r="C34" s="234"/>
      <c r="D34" s="235">
        <f>E33</f>
        <v>1138</v>
      </c>
      <c r="E34" s="236">
        <f>D34+H34*I34</f>
        <v>1055</v>
      </c>
      <c r="F34" s="237">
        <f>G33</f>
        <v>39782</v>
      </c>
      <c r="G34" s="301">
        <v>39948</v>
      </c>
      <c r="H34" s="206">
        <f>G34-F34</f>
        <v>166</v>
      </c>
      <c r="I34" s="295">
        <v>-0.5</v>
      </c>
      <c r="J34" s="238">
        <f>'2 Cow Calf Phase'!J118</f>
        <v>1.7061756496952287</v>
      </c>
      <c r="K34" s="92"/>
    </row>
    <row r="35" spans="2:18" s="43" customFormat="1" ht="12.75">
      <c r="B35" s="239" t="s">
        <v>176</v>
      </c>
      <c r="C35" s="177"/>
      <c r="D35" s="240"/>
      <c r="E35" s="241"/>
      <c r="F35" s="227"/>
      <c r="G35" s="227"/>
      <c r="H35" s="242">
        <f>SUM(H32:H34)</f>
        <v>365</v>
      </c>
      <c r="I35" s="243"/>
      <c r="J35" s="244"/>
      <c r="K35" s="93"/>
      <c r="L35" s="60"/>
      <c r="M35" s="22"/>
      <c r="N35" s="48"/>
      <c r="O35" s="48"/>
      <c r="P35" s="48"/>
      <c r="Q35" s="48"/>
      <c r="R35" s="48"/>
    </row>
    <row r="36" spans="2:11" ht="12.75">
      <c r="B36" s="176" t="s">
        <v>75</v>
      </c>
      <c r="C36" s="245"/>
      <c r="D36" s="302">
        <f>E40</f>
        <v>904</v>
      </c>
      <c r="E36" s="246">
        <f>D36+H36*I36</f>
        <v>1076.5</v>
      </c>
      <c r="F36" s="247">
        <f>F43</f>
        <v>39948</v>
      </c>
      <c r="G36" s="301">
        <v>40086</v>
      </c>
      <c r="H36" s="246">
        <f>G36-F36</f>
        <v>138</v>
      </c>
      <c r="I36" s="295">
        <v>1.25</v>
      </c>
      <c r="J36" s="248">
        <f>'2 Cow Calf Phase'!J52</f>
        <v>1.3559155438921406</v>
      </c>
      <c r="K36" s="92"/>
    </row>
    <row r="37" spans="2:18" s="43" customFormat="1" ht="15.75" customHeight="1">
      <c r="B37" s="239"/>
      <c r="C37" s="177"/>
      <c r="D37" s="249"/>
      <c r="E37" s="241"/>
      <c r="F37" s="250"/>
      <c r="G37" s="250"/>
      <c r="H37" s="438" t="s">
        <v>200</v>
      </c>
      <c r="I37" s="243"/>
      <c r="J37" s="252">
        <f>(J32*H32)+(J33*H33)+(J34*H34)</f>
        <v>559.2806133740416</v>
      </c>
      <c r="K37" s="94"/>
      <c r="L37" s="61"/>
      <c r="M37" s="22"/>
      <c r="N37" s="48"/>
      <c r="O37" s="48"/>
      <c r="P37" s="48"/>
      <c r="Q37" s="48"/>
      <c r="R37" s="48"/>
    </row>
    <row r="38" spans="2:11" ht="17.25" customHeight="1">
      <c r="B38" s="253" t="s">
        <v>5</v>
      </c>
      <c r="C38" s="254"/>
      <c r="D38" s="255"/>
      <c r="E38" s="164"/>
      <c r="F38" s="164"/>
      <c r="G38" s="164"/>
      <c r="H38" s="201"/>
      <c r="I38" s="256"/>
      <c r="J38" s="257"/>
      <c r="K38" s="95"/>
    </row>
    <row r="39" spans="2:11" ht="12.75">
      <c r="B39" s="258" t="s">
        <v>4</v>
      </c>
      <c r="C39" s="259"/>
      <c r="D39" s="255"/>
      <c r="E39" s="260"/>
      <c r="F39" s="261" t="s">
        <v>487</v>
      </c>
      <c r="G39" s="228" t="s">
        <v>487</v>
      </c>
      <c r="H39" s="260"/>
      <c r="I39" s="256"/>
      <c r="J39" s="262"/>
      <c r="K39" s="95"/>
    </row>
    <row r="40" spans="2:11" ht="12.75">
      <c r="B40" s="176" t="s">
        <v>80</v>
      </c>
      <c r="C40" s="229"/>
      <c r="D40" s="302">
        <v>450</v>
      </c>
      <c r="E40" s="164">
        <f>D40+H40*I40</f>
        <v>904</v>
      </c>
      <c r="F40" s="263">
        <f>G32</f>
        <v>39721</v>
      </c>
      <c r="G40" s="301">
        <v>39948</v>
      </c>
      <c r="H40" s="201">
        <f>G40-F40</f>
        <v>227</v>
      </c>
      <c r="I40" s="295">
        <v>2</v>
      </c>
      <c r="J40" s="231">
        <f>'3 Grassing Yearling Phase'!J41</f>
        <v>1.4966344356687609</v>
      </c>
      <c r="K40" s="92"/>
    </row>
    <row r="41" spans="2:18" s="43" customFormat="1" ht="13.5" customHeight="1">
      <c r="B41" s="239" t="s">
        <v>176</v>
      </c>
      <c r="C41" s="177"/>
      <c r="D41" s="240"/>
      <c r="E41" s="241"/>
      <c r="F41" s="264"/>
      <c r="G41" s="264"/>
      <c r="H41" s="610" t="s">
        <v>287</v>
      </c>
      <c r="I41" s="266"/>
      <c r="J41" s="252">
        <f>J40*H40</f>
        <v>339.73601689680874</v>
      </c>
      <c r="K41" s="94"/>
      <c r="L41" s="60"/>
      <c r="M41" s="22"/>
      <c r="N41" s="48"/>
      <c r="O41" s="48"/>
      <c r="P41" s="48"/>
      <c r="Q41" s="48"/>
      <c r="R41" s="48"/>
    </row>
    <row r="42" spans="2:11" ht="27.75" customHeight="1">
      <c r="B42" s="258" t="s">
        <v>299</v>
      </c>
      <c r="C42" s="267"/>
      <c r="D42" s="268"/>
      <c r="E42" s="269"/>
      <c r="F42" s="270" t="s">
        <v>487</v>
      </c>
      <c r="G42" s="228" t="s">
        <v>487</v>
      </c>
      <c r="H42" s="269"/>
      <c r="I42" s="256"/>
      <c r="J42" s="271"/>
      <c r="K42" s="95"/>
    </row>
    <row r="43" spans="2:11" ht="12.75">
      <c r="B43" s="176" t="s">
        <v>32</v>
      </c>
      <c r="C43" s="229"/>
      <c r="D43" s="255">
        <f>E40</f>
        <v>904</v>
      </c>
      <c r="E43" s="201">
        <f>D43+H43*I43</f>
        <v>1041.25</v>
      </c>
      <c r="F43" s="263">
        <f>G40</f>
        <v>39948</v>
      </c>
      <c r="G43" s="301">
        <v>40009</v>
      </c>
      <c r="H43" s="201">
        <f>G43-F43</f>
        <v>61</v>
      </c>
      <c r="I43" s="295">
        <v>2.25</v>
      </c>
      <c r="J43" s="231">
        <f>'4 Forage Finishing Phase'!J21</f>
        <v>0.6863955498209262</v>
      </c>
      <c r="K43" s="92"/>
    </row>
    <row r="44" spans="2:11" ht="12.75">
      <c r="B44" s="176" t="s">
        <v>317</v>
      </c>
      <c r="C44" s="234"/>
      <c r="D44" s="268">
        <f>E43</f>
        <v>1041.25</v>
      </c>
      <c r="E44" s="206">
        <f>D44+H44*I44</f>
        <v>1214.5</v>
      </c>
      <c r="F44" s="272">
        <f>G43</f>
        <v>40009</v>
      </c>
      <c r="G44" s="301">
        <v>40086</v>
      </c>
      <c r="H44" s="206">
        <f>G44-F44</f>
        <v>77</v>
      </c>
      <c r="I44" s="295">
        <v>2.25</v>
      </c>
      <c r="J44" s="238">
        <f>'4 Forage Finishing Phase'!J52</f>
        <v>1.9272538531630068</v>
      </c>
      <c r="K44" s="92"/>
    </row>
    <row r="45" spans="2:11" ht="12.75">
      <c r="B45" s="176"/>
      <c r="C45" s="229"/>
      <c r="D45" s="255"/>
      <c r="E45" s="201"/>
      <c r="F45" s="273"/>
      <c r="G45" s="273"/>
      <c r="H45" s="609" t="s">
        <v>82</v>
      </c>
      <c r="I45" s="275"/>
      <c r="J45" s="252">
        <f>(J43*H43)+(J44*H44)</f>
        <v>190.268675232628</v>
      </c>
      <c r="K45" s="94"/>
    </row>
    <row r="46" spans="2:11" ht="12.75" customHeight="1">
      <c r="B46" s="176"/>
      <c r="C46" s="229"/>
      <c r="D46" s="255"/>
      <c r="E46" s="201"/>
      <c r="F46" s="273"/>
      <c r="G46" s="273"/>
      <c r="H46" s="610" t="s">
        <v>288</v>
      </c>
      <c r="I46" s="266"/>
      <c r="J46" s="244">
        <f>J37+J41+J45</f>
        <v>1089.2853055034784</v>
      </c>
      <c r="K46" s="93"/>
    </row>
    <row r="47" spans="2:18" s="43" customFormat="1" ht="19.5" customHeight="1">
      <c r="B47" s="276"/>
      <c r="C47" s="277"/>
      <c r="D47" s="278" t="s">
        <v>81</v>
      </c>
      <c r="E47" s="279">
        <f>G44-F32</f>
        <v>503</v>
      </c>
      <c r="F47" s="280">
        <f>E47/30</f>
        <v>16.766666666666666</v>
      </c>
      <c r="G47" s="281" t="s">
        <v>493</v>
      </c>
      <c r="H47" s="282"/>
      <c r="I47" s="283"/>
      <c r="J47" s="284"/>
      <c r="K47" s="96"/>
      <c r="L47" s="61"/>
      <c r="M47" s="22"/>
      <c r="N47" s="48"/>
      <c r="O47" s="48"/>
      <c r="P47" s="48"/>
      <c r="Q47" s="48"/>
      <c r="R47" s="48"/>
    </row>
    <row r="48" spans="2:11" ht="12.75">
      <c r="B48" s="160" t="s">
        <v>295</v>
      </c>
      <c r="C48" s="161"/>
      <c r="D48" s="255"/>
      <c r="E48" s="210"/>
      <c r="F48" s="210"/>
      <c r="G48" s="250"/>
      <c r="H48" s="438" t="s">
        <v>103</v>
      </c>
      <c r="I48" s="169"/>
      <c r="J48" s="244">
        <f>'5 Marketing Estimate'!G23</f>
        <v>1843.6518055034785</v>
      </c>
      <c r="K48" s="93"/>
    </row>
    <row r="49" spans="2:11" ht="12.75">
      <c r="B49" s="160" t="s">
        <v>296</v>
      </c>
      <c r="C49" s="161"/>
      <c r="D49" s="255"/>
      <c r="E49" s="210"/>
      <c r="F49" s="210"/>
      <c r="G49" s="228"/>
      <c r="H49" s="438" t="s">
        <v>180</v>
      </c>
      <c r="I49" s="169"/>
      <c r="J49" s="244">
        <f>'5 Marketing Estimate'!G45</f>
        <v>2244.5883768000003</v>
      </c>
      <c r="K49" s="93"/>
    </row>
    <row r="50" spans="2:11" ht="13.5" thickBot="1">
      <c r="B50" s="214" t="s">
        <v>471</v>
      </c>
      <c r="C50" s="186"/>
      <c r="D50" s="285"/>
      <c r="E50" s="186"/>
      <c r="F50" s="186"/>
      <c r="G50" s="286"/>
      <c r="H50" s="184" t="s">
        <v>104</v>
      </c>
      <c r="I50" s="288"/>
      <c r="J50" s="289">
        <f>J49-J48</f>
        <v>400.93657129652183</v>
      </c>
      <c r="K50" s="93"/>
    </row>
    <row r="59" ht="11.25" customHeight="1"/>
  </sheetData>
  <sheetProtection sheet="1" objects="1" scenarios="1" selectLockedCells="1"/>
  <mergeCells count="8">
    <mergeCell ref="B4:J4"/>
    <mergeCell ref="B6:J6"/>
    <mergeCell ref="F15:G15"/>
    <mergeCell ref="B29:J29"/>
    <mergeCell ref="H15:J15"/>
    <mergeCell ref="B15:E15"/>
    <mergeCell ref="B7:J7"/>
    <mergeCell ref="H8:J8"/>
  </mergeCells>
  <printOptions/>
  <pageMargins left="0.6000000000000001" right="0.4600000000000001" top="0.74" bottom="0.5"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codeName="Sheet3"/>
  <dimension ref="A2:R136"/>
  <sheetViews>
    <sheetView defaultGridColor="0" zoomScalePageLayoutView="0" colorId="55" workbookViewId="0" topLeftCell="A1">
      <selection activeCell="D14" sqref="D14"/>
    </sheetView>
  </sheetViews>
  <sheetFormatPr defaultColWidth="10.00390625" defaultRowHeight="12.75"/>
  <cols>
    <col min="1" max="1" width="2.625" style="9" customWidth="1"/>
    <col min="2" max="2" width="14.625" style="22" customWidth="1"/>
    <col min="3" max="3" width="12.50390625" style="5" customWidth="1"/>
    <col min="4" max="5" width="10.00390625" style="5" customWidth="1"/>
    <col min="6" max="6" width="8.625" style="5" customWidth="1"/>
    <col min="7" max="7" width="6.625" style="5" customWidth="1"/>
    <col min="8" max="8" width="7.50390625" style="5" customWidth="1"/>
    <col min="9" max="9" width="10.00390625" style="5" customWidth="1"/>
    <col min="10" max="10" width="10.125" style="105" customWidth="1"/>
    <col min="11" max="11" width="7.625" style="101" customWidth="1"/>
    <col min="12" max="12" width="35.625" style="9" customWidth="1"/>
    <col min="13" max="16384" width="10.00390625" style="9" customWidth="1"/>
  </cols>
  <sheetData>
    <row r="1" ht="15" customHeight="1"/>
    <row r="2" spans="2:18" ht="31.5" customHeight="1">
      <c r="B2" s="5"/>
      <c r="D2" s="11"/>
      <c r="G2" s="19"/>
      <c r="H2" s="19"/>
      <c r="I2" s="41"/>
      <c r="J2" s="49"/>
      <c r="K2" s="97"/>
      <c r="L2" s="61"/>
      <c r="M2" s="5"/>
      <c r="N2" s="47"/>
      <c r="O2" s="47"/>
      <c r="P2" s="47"/>
      <c r="Q2" s="47"/>
      <c r="R2" s="47"/>
    </row>
    <row r="3" ht="15" customHeight="1"/>
    <row r="4" ht="15" customHeight="1"/>
    <row r="5" ht="15" customHeight="1"/>
    <row r="6" spans="2:12" s="666" customFormat="1" ht="15" customHeight="1" thickBot="1">
      <c r="B6" s="799" t="s">
        <v>560</v>
      </c>
      <c r="C6" s="800"/>
      <c r="D6" s="800"/>
      <c r="E6" s="800"/>
      <c r="F6" s="800"/>
      <c r="G6" s="800"/>
      <c r="H6" s="800"/>
      <c r="I6" s="800"/>
      <c r="J6" s="800"/>
      <c r="K6" s="669"/>
      <c r="L6" s="668" t="s">
        <v>173</v>
      </c>
    </row>
    <row r="7" spans="2:13" ht="15">
      <c r="B7" s="686"/>
      <c r="C7" s="687"/>
      <c r="D7" s="699" t="s">
        <v>407</v>
      </c>
      <c r="E7" s="65"/>
      <c r="F7" s="702"/>
      <c r="G7" s="687"/>
      <c r="H7" s="687"/>
      <c r="I7" s="699" t="s">
        <v>511</v>
      </c>
      <c r="J7" s="65"/>
      <c r="K7" s="65"/>
      <c r="L7" s="641"/>
      <c r="M7" s="652" t="str">
        <f>Summary!I2</f>
        <v>Cost/day</v>
      </c>
    </row>
    <row r="8" spans="2:13" ht="12">
      <c r="B8" s="690" t="s">
        <v>184</v>
      </c>
      <c r="C8" s="670"/>
      <c r="D8" s="700">
        <f>'1 Inputs'!H32</f>
        <v>138</v>
      </c>
      <c r="E8" s="65"/>
      <c r="F8" s="703" t="s">
        <v>324</v>
      </c>
      <c r="G8" s="671"/>
      <c r="H8" s="670"/>
      <c r="I8" s="700">
        <f>'1 Inputs'!D18</f>
        <v>100</v>
      </c>
      <c r="J8" s="67"/>
      <c r="K8" s="67"/>
      <c r="L8" s="642" t="s">
        <v>130</v>
      </c>
      <c r="M8" s="651"/>
    </row>
    <row r="9" spans="2:13" ht="12">
      <c r="B9" s="690" t="s">
        <v>6</v>
      </c>
      <c r="C9" s="670"/>
      <c r="D9" s="700">
        <f>'1 Inputs'!H33</f>
        <v>61</v>
      </c>
      <c r="E9" s="65"/>
      <c r="F9" s="703" t="s">
        <v>497</v>
      </c>
      <c r="G9" s="671"/>
      <c r="H9" s="670"/>
      <c r="I9" s="700">
        <f>'1 Inputs'!D19</f>
        <v>4</v>
      </c>
      <c r="J9" s="67"/>
      <c r="K9" s="67"/>
      <c r="L9" s="643" t="s">
        <v>91</v>
      </c>
      <c r="M9" s="653">
        <f>Summary!I4</f>
        <v>1.3559155438921406</v>
      </c>
    </row>
    <row r="10" spans="2:13" ht="12">
      <c r="B10" s="690" t="s">
        <v>185</v>
      </c>
      <c r="C10" s="670"/>
      <c r="D10" s="700">
        <f>'1 Inputs'!H34</f>
        <v>166</v>
      </c>
      <c r="E10" s="65"/>
      <c r="F10" s="703" t="s">
        <v>113</v>
      </c>
      <c r="G10" s="671"/>
      <c r="H10" s="670"/>
      <c r="I10" s="700">
        <f>'1 Inputs'!D20</f>
        <v>12</v>
      </c>
      <c r="J10" s="67"/>
      <c r="K10" s="67"/>
      <c r="L10" s="643" t="s">
        <v>314</v>
      </c>
      <c r="M10" s="653">
        <f>Summary!I5</f>
        <v>1.4580182043855454</v>
      </c>
    </row>
    <row r="11" spans="2:13" ht="12.75" customHeight="1" thickBot="1">
      <c r="B11" s="690"/>
      <c r="C11" s="670"/>
      <c r="D11" s="701"/>
      <c r="E11" s="38"/>
      <c r="F11" s="703"/>
      <c r="G11" s="672" t="s">
        <v>176</v>
      </c>
      <c r="H11" s="670"/>
      <c r="I11" s="700">
        <f>SUM(I8:I10)</f>
        <v>116</v>
      </c>
      <c r="J11" s="67"/>
      <c r="K11" s="66"/>
      <c r="L11" s="643" t="s">
        <v>56</v>
      </c>
      <c r="M11" s="654">
        <f>Summary!I6</f>
        <v>1.7061756496952287</v>
      </c>
    </row>
    <row r="12" spans="2:13" ht="12">
      <c r="B12" s="690" t="s">
        <v>114</v>
      </c>
      <c r="C12" s="670"/>
      <c r="D12" s="673" t="s">
        <v>584</v>
      </c>
      <c r="E12" s="705" t="s">
        <v>176</v>
      </c>
      <c r="F12" s="670"/>
      <c r="G12" s="798" t="s">
        <v>580</v>
      </c>
      <c r="H12" s="798"/>
      <c r="I12" s="798"/>
      <c r="J12" s="704" t="s">
        <v>585</v>
      </c>
      <c r="K12" s="94"/>
      <c r="L12" s="644" t="s">
        <v>176</v>
      </c>
      <c r="M12" s="655"/>
    </row>
    <row r="13" spans="2:13" ht="12">
      <c r="B13" s="690"/>
      <c r="C13" s="670"/>
      <c r="D13" s="670"/>
      <c r="E13" s="670"/>
      <c r="F13" s="674"/>
      <c r="G13" s="675" t="s">
        <v>578</v>
      </c>
      <c r="H13" s="674" t="s">
        <v>579</v>
      </c>
      <c r="I13" s="674" t="s">
        <v>581</v>
      </c>
      <c r="J13" s="693"/>
      <c r="K13" s="66"/>
      <c r="L13" s="643" t="s">
        <v>55</v>
      </c>
      <c r="M13" s="656">
        <f>Summary!I8</f>
        <v>1.3559155438921406</v>
      </c>
    </row>
    <row r="14" spans="2:13" ht="12">
      <c r="B14" s="688"/>
      <c r="C14" s="670"/>
      <c r="D14" s="316">
        <v>850</v>
      </c>
      <c r="E14" s="676">
        <f>D14*I8</f>
        <v>85000</v>
      </c>
      <c r="F14" s="670"/>
      <c r="G14" s="316">
        <v>42</v>
      </c>
      <c r="H14" s="316">
        <v>34</v>
      </c>
      <c r="I14" s="317">
        <f>D14*$I$18</f>
        <v>10.625</v>
      </c>
      <c r="J14" s="689">
        <f>SUM(G14:I14)</f>
        <v>86.625</v>
      </c>
      <c r="K14" s="99"/>
      <c r="L14" s="645"/>
      <c r="M14" s="657">
        <f>Summary!I9</f>
        <v>559.2806133740416</v>
      </c>
    </row>
    <row r="15" spans="2:13" ht="12">
      <c r="B15" s="688"/>
      <c r="C15" s="670"/>
      <c r="D15" s="316">
        <v>1800</v>
      </c>
      <c r="E15" s="676">
        <f>D15*I9</f>
        <v>7200</v>
      </c>
      <c r="F15" s="670"/>
      <c r="G15" s="316">
        <v>13</v>
      </c>
      <c r="H15" s="316">
        <v>3</v>
      </c>
      <c r="I15" s="317">
        <f>D15*$I$18/I8</f>
        <v>0.225</v>
      </c>
      <c r="J15" s="689">
        <f>SUM(G15:I15)</f>
        <v>16.225</v>
      </c>
      <c r="K15" s="99"/>
      <c r="L15" s="646" t="s">
        <v>321</v>
      </c>
      <c r="M15" s="658"/>
    </row>
    <row r="16" spans="2:13" ht="12">
      <c r="B16" s="690" t="s">
        <v>576</v>
      </c>
      <c r="C16" s="670"/>
      <c r="D16" s="316">
        <v>900</v>
      </c>
      <c r="E16" s="676">
        <f>D16*I10</f>
        <v>10800</v>
      </c>
      <c r="F16" s="670"/>
      <c r="G16" s="677"/>
      <c r="H16" s="677"/>
      <c r="I16" s="317">
        <f>D16*$I$18/I8</f>
        <v>0.1125</v>
      </c>
      <c r="J16" s="689">
        <f>SUM(G16:I16)</f>
        <v>0.1125</v>
      </c>
      <c r="K16" s="99"/>
      <c r="L16" s="647" t="s">
        <v>298</v>
      </c>
      <c r="M16" s="659"/>
    </row>
    <row r="17" spans="2:13" ht="12">
      <c r="B17" s="691"/>
      <c r="C17" s="678"/>
      <c r="D17" s="679" t="s">
        <v>115</v>
      </c>
      <c r="E17" s="676">
        <f>SUM(E14:E16)</f>
        <v>103000</v>
      </c>
      <c r="F17" s="670"/>
      <c r="G17" s="670"/>
      <c r="H17" s="670"/>
      <c r="I17" s="677"/>
      <c r="J17" s="692"/>
      <c r="K17" s="102"/>
      <c r="L17" s="643" t="s">
        <v>96</v>
      </c>
      <c r="M17" s="653">
        <f>Summary!I12</f>
        <v>1.4966344356687609</v>
      </c>
    </row>
    <row r="18" spans="2:13" ht="12">
      <c r="B18" s="690"/>
      <c r="C18" s="670"/>
      <c r="D18" s="670"/>
      <c r="E18" s="670"/>
      <c r="F18" s="670"/>
      <c r="G18" s="670"/>
      <c r="H18" s="679" t="s">
        <v>219</v>
      </c>
      <c r="I18" s="318">
        <v>0.0125</v>
      </c>
      <c r="J18" s="693"/>
      <c r="K18" s="66"/>
      <c r="L18" s="644" t="s">
        <v>176</v>
      </c>
      <c r="M18" s="657">
        <f>Summary!I13</f>
        <v>339.73601689680874</v>
      </c>
    </row>
    <row r="19" spans="2:13" ht="12">
      <c r="B19" s="690"/>
      <c r="C19" s="670"/>
      <c r="D19" s="670"/>
      <c r="E19" s="670"/>
      <c r="F19" s="670"/>
      <c r="G19" s="670"/>
      <c r="H19" s="677" t="s">
        <v>582</v>
      </c>
      <c r="I19" s="670"/>
      <c r="J19" s="689">
        <f>SUM(J14:J17)</f>
        <v>102.96249999999999</v>
      </c>
      <c r="K19" s="99"/>
      <c r="L19" s="647" t="s">
        <v>299</v>
      </c>
      <c r="M19" s="660"/>
    </row>
    <row r="20" spans="2:13" ht="12.75" thickBot="1">
      <c r="B20" s="694"/>
      <c r="C20" s="695"/>
      <c r="D20" s="695"/>
      <c r="E20" s="695"/>
      <c r="F20" s="695"/>
      <c r="G20" s="695"/>
      <c r="H20" s="696" t="s">
        <v>583</v>
      </c>
      <c r="I20" s="697"/>
      <c r="J20" s="698">
        <f>J19/365</f>
        <v>0.2820890410958904</v>
      </c>
      <c r="K20" s="53"/>
      <c r="L20" s="643" t="s">
        <v>182</v>
      </c>
      <c r="M20" s="653">
        <f>Summary!I15</f>
        <v>0.6863955498209262</v>
      </c>
    </row>
    <row r="21" spans="1:13" ht="12.75" thickBot="1">
      <c r="A21" s="98"/>
      <c r="B21" s="72"/>
      <c r="C21" s="38"/>
      <c r="D21" s="38"/>
      <c r="E21" s="38"/>
      <c r="F21" s="38"/>
      <c r="G21" s="38"/>
      <c r="H21" s="38"/>
      <c r="I21" s="66"/>
      <c r="J21" s="92"/>
      <c r="K21" s="99"/>
      <c r="L21" s="643" t="s">
        <v>317</v>
      </c>
      <c r="M21" s="654">
        <f>Summary!I16</f>
        <v>1.9272538531630068</v>
      </c>
    </row>
    <row r="22" spans="2:13" ht="15">
      <c r="B22" s="745" t="s">
        <v>259</v>
      </c>
      <c r="C22" s="680">
        <f>'1 Inputs'!D10</f>
        <v>230</v>
      </c>
      <c r="D22" s="681" t="s">
        <v>498</v>
      </c>
      <c r="E22" s="307"/>
      <c r="F22" s="307"/>
      <c r="G22" s="307"/>
      <c r="H22" s="307"/>
      <c r="I22" s="307"/>
      <c r="J22" s="319"/>
      <c r="K22" s="66"/>
      <c r="L22" s="643" t="s">
        <v>181</v>
      </c>
      <c r="M22" s="657">
        <f>Summary!I17</f>
        <v>190.268675232628</v>
      </c>
    </row>
    <row r="23" spans="2:13" s="44" customFormat="1" ht="12">
      <c r="B23" s="253" t="s">
        <v>463</v>
      </c>
      <c r="C23" s="210"/>
      <c r="D23" s="210"/>
      <c r="E23" s="210"/>
      <c r="F23" s="210"/>
      <c r="G23" s="210"/>
      <c r="H23" s="210"/>
      <c r="I23" s="210"/>
      <c r="J23" s="310"/>
      <c r="K23" s="66"/>
      <c r="L23" s="643" t="s">
        <v>288</v>
      </c>
      <c r="M23" s="657">
        <f>Summary!I18</f>
        <v>1089.2853055034784</v>
      </c>
    </row>
    <row r="24" spans="2:13" ht="12">
      <c r="B24" s="160" t="s">
        <v>333</v>
      </c>
      <c r="C24" s="161" t="s">
        <v>350</v>
      </c>
      <c r="D24" s="161" t="s">
        <v>533</v>
      </c>
      <c r="E24" s="161" t="s">
        <v>352</v>
      </c>
      <c r="F24" s="161" t="s">
        <v>503</v>
      </c>
      <c r="G24" s="161" t="s">
        <v>499</v>
      </c>
      <c r="H24" s="161"/>
      <c r="I24" s="161"/>
      <c r="J24" s="252" t="s">
        <v>176</v>
      </c>
      <c r="K24" s="66"/>
      <c r="L24" s="648"/>
      <c r="M24" s="661"/>
    </row>
    <row r="25" spans="2:13" s="43" customFormat="1" ht="24">
      <c r="B25" s="176" t="s">
        <v>500</v>
      </c>
      <c r="C25" s="336">
        <v>0.45</v>
      </c>
      <c r="D25" s="336">
        <v>0.41</v>
      </c>
      <c r="E25" s="336">
        <v>0.24</v>
      </c>
      <c r="F25" s="336">
        <v>0.27</v>
      </c>
      <c r="G25" s="336">
        <v>5</v>
      </c>
      <c r="H25" s="169" t="s">
        <v>504</v>
      </c>
      <c r="I25" s="210"/>
      <c r="J25" s="310"/>
      <c r="K25" s="66"/>
      <c r="L25" s="649" t="s">
        <v>101</v>
      </c>
      <c r="M25" s="657">
        <f>Summary!I20</f>
        <v>1843.6518055034785</v>
      </c>
    </row>
    <row r="26" spans="2:13" ht="12">
      <c r="B26" s="176" t="s">
        <v>501</v>
      </c>
      <c r="C26" s="337">
        <v>10</v>
      </c>
      <c r="D26" s="337">
        <v>10</v>
      </c>
      <c r="E26" s="337">
        <v>10</v>
      </c>
      <c r="F26" s="337">
        <v>10</v>
      </c>
      <c r="G26" s="337"/>
      <c r="H26" s="210"/>
      <c r="I26" s="210"/>
      <c r="J26" s="310"/>
      <c r="K26" s="66"/>
      <c r="L26" s="649"/>
      <c r="M26" s="657"/>
    </row>
    <row r="27" spans="2:13" ht="12">
      <c r="B27" s="176" t="s">
        <v>502</v>
      </c>
      <c r="C27" s="337">
        <v>20</v>
      </c>
      <c r="D27" s="337">
        <v>20</v>
      </c>
      <c r="E27" s="337">
        <v>20</v>
      </c>
      <c r="F27" s="337">
        <v>20</v>
      </c>
      <c r="G27" s="337">
        <v>20</v>
      </c>
      <c r="H27" s="210"/>
      <c r="I27" s="210"/>
      <c r="J27" s="310"/>
      <c r="K27" s="66"/>
      <c r="L27" s="642" t="s">
        <v>180</v>
      </c>
      <c r="M27" s="657">
        <f>Summary!I22</f>
        <v>2244.5883768000003</v>
      </c>
    </row>
    <row r="28" spans="2:13" ht="12">
      <c r="B28" s="239" t="s">
        <v>289</v>
      </c>
      <c r="C28" s="320">
        <f>C25*C26*C27</f>
        <v>90</v>
      </c>
      <c r="D28" s="320">
        <f>D25*D26*D27</f>
        <v>82</v>
      </c>
      <c r="E28" s="320">
        <f>E25*E26*E27</f>
        <v>48</v>
      </c>
      <c r="F28" s="320">
        <f>F25*F26*F27</f>
        <v>54</v>
      </c>
      <c r="G28" s="321">
        <f>G25*G27</f>
        <v>100</v>
      </c>
      <c r="H28" s="322"/>
      <c r="I28" s="322"/>
      <c r="J28" s="323">
        <f>SUM(C28:I28)</f>
        <v>374</v>
      </c>
      <c r="K28" s="52"/>
      <c r="L28" s="642"/>
      <c r="M28" s="655"/>
    </row>
    <row r="29" spans="2:13" ht="24.75" thickBot="1">
      <c r="B29" s="239"/>
      <c r="C29" s="324"/>
      <c r="D29" s="324"/>
      <c r="E29" s="324"/>
      <c r="F29" s="324"/>
      <c r="G29" s="325"/>
      <c r="H29" s="161"/>
      <c r="I29" s="161"/>
      <c r="J29" s="252"/>
      <c r="K29" s="52"/>
      <c r="L29" s="650" t="s">
        <v>99</v>
      </c>
      <c r="M29" s="662">
        <f>Summary!I24</f>
        <v>400.93657129652183</v>
      </c>
    </row>
    <row r="30" spans="2:11" ht="12">
      <c r="B30" s="160" t="s">
        <v>505</v>
      </c>
      <c r="C30" s="229" t="s">
        <v>506</v>
      </c>
      <c r="D30" s="338">
        <v>30</v>
      </c>
      <c r="E30" s="339">
        <v>50</v>
      </c>
      <c r="F30" s="169" t="s">
        <v>344</v>
      </c>
      <c r="G30" s="210"/>
      <c r="H30" s="210"/>
      <c r="I30" s="210"/>
      <c r="J30" s="310">
        <f>D30*E30</f>
        <v>1500</v>
      </c>
      <c r="K30" s="66"/>
    </row>
    <row r="31" spans="2:11" ht="12">
      <c r="B31" s="160" t="s">
        <v>507</v>
      </c>
      <c r="C31" s="229" t="s">
        <v>506</v>
      </c>
      <c r="D31" s="338">
        <v>10</v>
      </c>
      <c r="E31" s="339">
        <v>10</v>
      </c>
      <c r="F31" s="169" t="s">
        <v>344</v>
      </c>
      <c r="G31" s="210"/>
      <c r="H31" s="210"/>
      <c r="I31" s="210"/>
      <c r="J31" s="310">
        <f>D31*E31</f>
        <v>100</v>
      </c>
      <c r="K31" s="66"/>
    </row>
    <row r="32" spans="2:11" ht="12">
      <c r="B32" s="160" t="s">
        <v>339</v>
      </c>
      <c r="C32" s="210"/>
      <c r="D32" s="337">
        <v>1</v>
      </c>
      <c r="E32" s="311" t="s">
        <v>380</v>
      </c>
      <c r="F32" s="316">
        <v>15</v>
      </c>
      <c r="G32" s="210" t="s">
        <v>381</v>
      </c>
      <c r="H32" s="210"/>
      <c r="I32" s="210"/>
      <c r="J32" s="310">
        <f>D32*F32*D8</f>
        <v>2070</v>
      </c>
      <c r="K32" s="66"/>
    </row>
    <row r="33" spans="2:11" ht="12">
      <c r="B33" s="160" t="s">
        <v>116</v>
      </c>
      <c r="C33" s="229" t="s">
        <v>386</v>
      </c>
      <c r="D33" s="336">
        <v>24</v>
      </c>
      <c r="E33" s="210"/>
      <c r="F33" s="210"/>
      <c r="G33" s="210"/>
      <c r="H33" s="311"/>
      <c r="I33" s="210"/>
      <c r="J33" s="310">
        <f>D33*C22</f>
        <v>5520</v>
      </c>
      <c r="K33" s="66"/>
    </row>
    <row r="34" spans="2:11" ht="12">
      <c r="B34" s="253" t="s">
        <v>508</v>
      </c>
      <c r="C34" s="229" t="s">
        <v>342</v>
      </c>
      <c r="D34" s="336">
        <v>37.33</v>
      </c>
      <c r="E34" s="337">
        <v>2</v>
      </c>
      <c r="F34" s="210" t="s">
        <v>571</v>
      </c>
      <c r="G34" s="210"/>
      <c r="H34" s="210"/>
      <c r="I34" s="210"/>
      <c r="J34" s="310">
        <f>(D34/880)*E34*D8*(I11)</f>
        <v>1358.1332727272727</v>
      </c>
      <c r="K34" s="66"/>
    </row>
    <row r="35" spans="2:11" ht="12">
      <c r="B35" s="253" t="s">
        <v>509</v>
      </c>
      <c r="C35" s="229" t="s">
        <v>342</v>
      </c>
      <c r="D35" s="336">
        <v>7</v>
      </c>
      <c r="E35" s="337">
        <v>2</v>
      </c>
      <c r="F35" s="210" t="s">
        <v>551</v>
      </c>
      <c r="G35" s="210"/>
      <c r="H35" s="210"/>
      <c r="I35" s="210"/>
      <c r="J35" s="310">
        <f>(D35/880)*E35*D8*I11</f>
        <v>254.67272727272726</v>
      </c>
      <c r="K35" s="66"/>
    </row>
    <row r="36" spans="2:11" ht="12">
      <c r="B36" s="239" t="s">
        <v>520</v>
      </c>
      <c r="C36" s="229" t="s">
        <v>572</v>
      </c>
      <c r="D36" s="336">
        <v>0</v>
      </c>
      <c r="E36" s="302"/>
      <c r="F36" s="210" t="s">
        <v>550</v>
      </c>
      <c r="G36" s="210"/>
      <c r="H36" s="210"/>
      <c r="I36" s="210"/>
      <c r="J36" s="310">
        <f>E36*D36</f>
        <v>0</v>
      </c>
      <c r="K36" s="66"/>
    </row>
    <row r="37" spans="2:11" ht="12">
      <c r="B37" s="160" t="s">
        <v>315</v>
      </c>
      <c r="C37" s="229" t="s">
        <v>512</v>
      </c>
      <c r="D37" s="336">
        <v>2</v>
      </c>
      <c r="E37" s="210"/>
      <c r="F37" s="210"/>
      <c r="G37" s="210"/>
      <c r="H37" s="210"/>
      <c r="I37" s="210"/>
      <c r="J37" s="310">
        <f>D37*I11</f>
        <v>232</v>
      </c>
      <c r="K37" s="66"/>
    </row>
    <row r="38" spans="2:11" ht="12">
      <c r="B38" s="160" t="s">
        <v>513</v>
      </c>
      <c r="C38" s="229"/>
      <c r="D38" s="210"/>
      <c r="E38" s="210"/>
      <c r="F38" s="210"/>
      <c r="G38" s="210"/>
      <c r="H38" s="210"/>
      <c r="I38" s="210"/>
      <c r="J38" s="310"/>
      <c r="K38" s="66"/>
    </row>
    <row r="39" spans="2:11" ht="12">
      <c r="B39" s="239" t="s">
        <v>521</v>
      </c>
      <c r="C39" s="229" t="s">
        <v>461</v>
      </c>
      <c r="D39" s="336">
        <v>5</v>
      </c>
      <c r="E39" s="210"/>
      <c r="F39" s="210"/>
      <c r="G39" s="210"/>
      <c r="H39" s="210"/>
      <c r="I39" s="210"/>
      <c r="J39" s="310">
        <f>D39*$I$11</f>
        <v>580</v>
      </c>
      <c r="K39" s="66"/>
    </row>
    <row r="40" spans="2:11" ht="12">
      <c r="B40" s="239" t="s">
        <v>522</v>
      </c>
      <c r="C40" s="229" t="s">
        <v>512</v>
      </c>
      <c r="D40" s="336">
        <v>0</v>
      </c>
      <c r="E40" s="210"/>
      <c r="F40" s="210"/>
      <c r="G40" s="210"/>
      <c r="H40" s="210"/>
      <c r="I40" s="210"/>
      <c r="J40" s="310">
        <f>D40*$I$11</f>
        <v>0</v>
      </c>
      <c r="K40" s="66"/>
    </row>
    <row r="41" spans="2:11" ht="12">
      <c r="B41" s="239" t="s">
        <v>523</v>
      </c>
      <c r="C41" s="229" t="s">
        <v>512</v>
      </c>
      <c r="D41" s="336">
        <v>0</v>
      </c>
      <c r="E41" s="210"/>
      <c r="F41" s="210"/>
      <c r="G41" s="210"/>
      <c r="H41" s="210"/>
      <c r="I41" s="210"/>
      <c r="J41" s="310">
        <f>D41*$I$11</f>
        <v>0</v>
      </c>
      <c r="K41" s="66"/>
    </row>
    <row r="42" spans="2:11" s="43" customFormat="1" ht="12">
      <c r="B42" s="239" t="s">
        <v>524</v>
      </c>
      <c r="C42" s="229" t="s">
        <v>512</v>
      </c>
      <c r="D42" s="336">
        <v>0</v>
      </c>
      <c r="E42" s="326"/>
      <c r="F42" s="327"/>
      <c r="G42" s="327"/>
      <c r="H42" s="327"/>
      <c r="I42" s="327"/>
      <c r="J42" s="328">
        <f>D42*$I$11</f>
        <v>0</v>
      </c>
      <c r="K42" s="66"/>
    </row>
    <row r="43" spans="2:11" ht="12">
      <c r="B43" s="160"/>
      <c r="C43" s="210"/>
      <c r="D43" s="210"/>
      <c r="E43" s="210"/>
      <c r="F43" s="210"/>
      <c r="G43" s="210"/>
      <c r="H43" s="311"/>
      <c r="I43" s="161" t="s">
        <v>545</v>
      </c>
      <c r="J43" s="252">
        <f>SUM(J28:J42)</f>
        <v>11988.806</v>
      </c>
      <c r="K43" s="52"/>
    </row>
    <row r="44" spans="2:11" ht="12">
      <c r="B44" s="160"/>
      <c r="C44" s="210"/>
      <c r="D44" s="210"/>
      <c r="E44" s="210"/>
      <c r="F44" s="210"/>
      <c r="G44" s="210"/>
      <c r="H44" s="311" t="s">
        <v>357</v>
      </c>
      <c r="I44" s="318">
        <v>0.06</v>
      </c>
      <c r="J44" s="310">
        <f>(J43/2)*I44</f>
        <v>359.66418</v>
      </c>
      <c r="K44" s="66"/>
    </row>
    <row r="45" spans="2:11" ht="12">
      <c r="B45" s="160"/>
      <c r="C45" s="210"/>
      <c r="D45" s="210"/>
      <c r="E45" s="210"/>
      <c r="F45" s="210"/>
      <c r="G45" s="210"/>
      <c r="H45" s="311"/>
      <c r="I45" s="329" t="s">
        <v>183</v>
      </c>
      <c r="J45" s="252">
        <f>SUM(J43:J44)</f>
        <v>12348.47018</v>
      </c>
      <c r="K45" s="52"/>
    </row>
    <row r="46" spans="2:11" s="43" customFormat="1" ht="12">
      <c r="B46" s="253" t="s">
        <v>83</v>
      </c>
      <c r="C46" s="161" t="s">
        <v>552</v>
      </c>
      <c r="D46" s="161"/>
      <c r="E46" s="161"/>
      <c r="F46" s="161"/>
      <c r="G46" s="161"/>
      <c r="H46" s="325"/>
      <c r="I46" s="161"/>
      <c r="J46" s="252"/>
      <c r="K46" s="52"/>
    </row>
    <row r="47" spans="2:11" s="43" customFormat="1" ht="12">
      <c r="B47" s="160" t="s">
        <v>117</v>
      </c>
      <c r="C47" s="210"/>
      <c r="D47" s="313">
        <f>'6  Forage Establishment'!J55</f>
        <v>15.103233333333332</v>
      </c>
      <c r="E47" s="210"/>
      <c r="F47" s="210"/>
      <c r="G47" s="210"/>
      <c r="H47" s="311"/>
      <c r="I47" s="210"/>
      <c r="J47" s="310">
        <f>D47*C22</f>
        <v>3473.7436666666663</v>
      </c>
      <c r="K47" s="66"/>
    </row>
    <row r="48" spans="2:11" ht="12">
      <c r="B48" s="160" t="s">
        <v>199</v>
      </c>
      <c r="C48" s="210"/>
      <c r="D48" s="313">
        <f>'8 Pasture Fencing'!K68</f>
        <v>5.946090478676997</v>
      </c>
      <c r="E48" s="327"/>
      <c r="F48" s="327"/>
      <c r="G48" s="327"/>
      <c r="H48" s="330"/>
      <c r="I48" s="327"/>
      <c r="J48" s="328">
        <f>D48*C22</f>
        <v>1367.6008100957092</v>
      </c>
      <c r="K48" s="66"/>
    </row>
    <row r="49" spans="2:11" ht="12">
      <c r="B49" s="160"/>
      <c r="C49" s="210"/>
      <c r="D49" s="210"/>
      <c r="E49" s="210"/>
      <c r="F49" s="210"/>
      <c r="G49" s="210"/>
      <c r="H49" s="311"/>
      <c r="I49" s="254" t="s">
        <v>176</v>
      </c>
      <c r="J49" s="252">
        <f>SUM(J45:J48)</f>
        <v>17189.814656762373</v>
      </c>
      <c r="K49" s="52"/>
    </row>
    <row r="50" spans="2:11" ht="12">
      <c r="B50" s="160"/>
      <c r="C50" s="161"/>
      <c r="D50" s="161"/>
      <c r="E50" s="161"/>
      <c r="F50" s="161"/>
      <c r="G50" s="161"/>
      <c r="H50" s="210"/>
      <c r="I50" s="254" t="s">
        <v>355</v>
      </c>
      <c r="J50" s="331" t="s">
        <v>514</v>
      </c>
      <c r="K50" s="89"/>
    </row>
    <row r="51" spans="2:11" ht="12">
      <c r="B51" s="160"/>
      <c r="C51" s="161"/>
      <c r="D51" s="325"/>
      <c r="E51" s="161"/>
      <c r="F51" s="161"/>
      <c r="G51" s="161"/>
      <c r="H51" s="210"/>
      <c r="I51" s="332">
        <f>J49/I11</f>
        <v>148.18805738588253</v>
      </c>
      <c r="J51" s="244">
        <f>J49/C22</f>
        <v>74.73832459461902</v>
      </c>
      <c r="K51" s="93"/>
    </row>
    <row r="52" spans="2:11" ht="12.75" thickBot="1">
      <c r="B52" s="333"/>
      <c r="C52" s="186"/>
      <c r="D52" s="334"/>
      <c r="E52" s="186"/>
      <c r="F52" s="186"/>
      <c r="G52" s="186"/>
      <c r="H52" s="335"/>
      <c r="I52" s="190" t="s">
        <v>488</v>
      </c>
      <c r="J52" s="289">
        <f>(J49/D8)/I11+J20</f>
        <v>1.3559155438921406</v>
      </c>
      <c r="K52" s="93"/>
    </row>
    <row r="53" spans="2:11" ht="12.75" thickBot="1">
      <c r="B53" s="63"/>
      <c r="C53" s="15"/>
      <c r="D53" s="46"/>
      <c r="E53" s="15"/>
      <c r="F53" s="15"/>
      <c r="G53" s="15"/>
      <c r="H53" s="50"/>
      <c r="I53" s="51"/>
      <c r="J53" s="51"/>
      <c r="K53" s="92"/>
    </row>
    <row r="54" spans="2:11" ht="12">
      <c r="B54" s="745" t="s">
        <v>383</v>
      </c>
      <c r="C54" s="340"/>
      <c r="D54" s="340"/>
      <c r="E54" s="340"/>
      <c r="F54" s="340"/>
      <c r="G54" s="340"/>
      <c r="H54" s="307"/>
      <c r="I54" s="341"/>
      <c r="J54" s="225"/>
      <c r="K54" s="72"/>
    </row>
    <row r="55" spans="2:11" ht="12">
      <c r="B55" s="305"/>
      <c r="C55" s="210"/>
      <c r="D55" s="210"/>
      <c r="E55" s="210"/>
      <c r="F55" s="210"/>
      <c r="G55" s="210"/>
      <c r="H55" s="210"/>
      <c r="I55" s="342"/>
      <c r="J55" s="310"/>
      <c r="K55" s="66"/>
    </row>
    <row r="56" spans="2:11" ht="12">
      <c r="B56" s="305" t="s">
        <v>209</v>
      </c>
      <c r="C56" s="210"/>
      <c r="D56" s="682">
        <f>'1 Inputs'!D21</f>
        <v>116</v>
      </c>
      <c r="E56" s="683" t="s">
        <v>211</v>
      </c>
      <c r="F56" s="161"/>
      <c r="G56" s="161"/>
      <c r="H56" s="210"/>
      <c r="I56" s="342"/>
      <c r="J56" s="310"/>
      <c r="K56" s="66"/>
    </row>
    <row r="57" spans="2:11" ht="12">
      <c r="B57" s="305" t="s">
        <v>210</v>
      </c>
      <c r="C57" s="210"/>
      <c r="D57" s="684">
        <f>'1 Inputs'!G21</f>
        <v>120.78732</v>
      </c>
      <c r="E57" s="683" t="s">
        <v>398</v>
      </c>
      <c r="F57" s="210"/>
      <c r="G57" s="210"/>
      <c r="H57" s="210"/>
      <c r="I57" s="342"/>
      <c r="J57" s="310"/>
      <c r="K57" s="66"/>
    </row>
    <row r="58" spans="2:11" ht="12">
      <c r="B58" s="305" t="s">
        <v>118</v>
      </c>
      <c r="C58" s="210"/>
      <c r="D58" s="682">
        <f>'1 Inputs'!H33</f>
        <v>61</v>
      </c>
      <c r="E58" s="683" t="s">
        <v>407</v>
      </c>
      <c r="F58" s="255">
        <f>((D57*2000)/D56)/D58</f>
        <v>34.14</v>
      </c>
      <c r="G58" s="210" t="s">
        <v>267</v>
      </c>
      <c r="H58" s="210"/>
      <c r="I58" s="342"/>
      <c r="J58" s="310"/>
      <c r="K58" s="66"/>
    </row>
    <row r="59" spans="2:11" ht="12.75" thickBot="1">
      <c r="B59" s="219" t="s">
        <v>562</v>
      </c>
      <c r="C59" s="346">
        <v>2.5</v>
      </c>
      <c r="D59" s="186" t="s">
        <v>405</v>
      </c>
      <c r="E59" s="343">
        <f>D57/C59</f>
        <v>48.314927999999995</v>
      </c>
      <c r="F59" s="186" t="s">
        <v>498</v>
      </c>
      <c r="G59" s="186"/>
      <c r="H59" s="186"/>
      <c r="I59" s="344"/>
      <c r="J59" s="345"/>
      <c r="K59" s="38"/>
    </row>
    <row r="60" spans="2:11" ht="12.75" thickBot="1">
      <c r="B60" s="5"/>
      <c r="I60" s="51"/>
      <c r="J60" s="51"/>
      <c r="K60" s="92"/>
    </row>
    <row r="61" spans="2:11" ht="12">
      <c r="B61" s="306"/>
      <c r="C61" s="347" t="s">
        <v>265</v>
      </c>
      <c r="D61" s="347"/>
      <c r="E61" s="347"/>
      <c r="F61" s="347"/>
      <c r="G61" s="348"/>
      <c r="H61" s="349"/>
      <c r="I61" s="347"/>
      <c r="J61" s="225" t="s">
        <v>504</v>
      </c>
      <c r="K61" s="89"/>
    </row>
    <row r="62" spans="2:11" ht="12">
      <c r="B62" s="305" t="s">
        <v>447</v>
      </c>
      <c r="C62" s="210" t="s">
        <v>84</v>
      </c>
      <c r="D62" s="210"/>
      <c r="E62" s="210"/>
      <c r="F62" s="210"/>
      <c r="G62" s="229"/>
      <c r="H62" s="342"/>
      <c r="I62" s="210"/>
      <c r="J62" s="358">
        <v>19</v>
      </c>
      <c r="K62" s="100"/>
    </row>
    <row r="63" spans="2:11" ht="12">
      <c r="B63" s="305" t="s">
        <v>333</v>
      </c>
      <c r="C63" s="210" t="s">
        <v>84</v>
      </c>
      <c r="D63" s="210"/>
      <c r="E63" s="210"/>
      <c r="F63" s="210"/>
      <c r="G63" s="229"/>
      <c r="H63" s="342"/>
      <c r="I63" s="210"/>
      <c r="J63" s="358">
        <v>68</v>
      </c>
      <c r="K63" s="100"/>
    </row>
    <row r="64" spans="2:11" ht="12">
      <c r="B64" s="305" t="s">
        <v>507</v>
      </c>
      <c r="C64" s="210" t="s">
        <v>84</v>
      </c>
      <c r="D64" s="210"/>
      <c r="E64" s="210"/>
      <c r="F64" s="210"/>
      <c r="G64" s="229"/>
      <c r="H64" s="342"/>
      <c r="I64" s="210"/>
      <c r="J64" s="358">
        <v>5</v>
      </c>
      <c r="K64" s="100"/>
    </row>
    <row r="65" spans="2:11" ht="12">
      <c r="B65" s="305" t="s">
        <v>448</v>
      </c>
      <c r="C65" s="350"/>
      <c r="D65" s="350"/>
      <c r="E65" s="350"/>
      <c r="F65" s="350"/>
      <c r="G65" s="234"/>
      <c r="H65" s="351"/>
      <c r="I65" s="352"/>
      <c r="J65" s="358">
        <v>24</v>
      </c>
      <c r="K65" s="100"/>
    </row>
    <row r="66" spans="2:11" ht="12">
      <c r="B66" s="305" t="s">
        <v>449</v>
      </c>
      <c r="C66" s="210" t="s">
        <v>85</v>
      </c>
      <c r="D66" s="210"/>
      <c r="E66" s="210"/>
      <c r="F66" s="210"/>
      <c r="G66" s="229"/>
      <c r="H66" s="342"/>
      <c r="I66" s="210"/>
      <c r="J66" s="358">
        <v>14.37</v>
      </c>
      <c r="K66" s="100"/>
    </row>
    <row r="67" spans="2:11" ht="12">
      <c r="B67" s="353" t="s">
        <v>266</v>
      </c>
      <c r="C67" s="210" t="s">
        <v>85</v>
      </c>
      <c r="D67" s="210"/>
      <c r="E67" s="210"/>
      <c r="F67" s="210"/>
      <c r="G67" s="229"/>
      <c r="H67" s="342"/>
      <c r="I67" s="210"/>
      <c r="J67" s="358">
        <v>15.27</v>
      </c>
      <c r="K67" s="100"/>
    </row>
    <row r="68" spans="2:11" ht="12">
      <c r="B68" s="305" t="s">
        <v>457</v>
      </c>
      <c r="C68" s="210" t="s">
        <v>38</v>
      </c>
      <c r="D68" s="350"/>
      <c r="E68" s="210"/>
      <c r="F68" s="350"/>
      <c r="G68" s="350"/>
      <c r="H68" s="351"/>
      <c r="I68" s="352"/>
      <c r="J68" s="358">
        <v>2.5</v>
      </c>
      <c r="K68" s="100"/>
    </row>
    <row r="69" spans="2:10" ht="12">
      <c r="B69" s="354" t="s">
        <v>563</v>
      </c>
      <c r="C69" s="359">
        <v>1</v>
      </c>
      <c r="D69" s="210" t="s">
        <v>380</v>
      </c>
      <c r="E69" s="336">
        <v>15</v>
      </c>
      <c r="F69" s="210" t="s">
        <v>220</v>
      </c>
      <c r="G69" s="210"/>
      <c r="H69" s="342"/>
      <c r="I69" s="210"/>
      <c r="J69" s="231">
        <f>(C69*E69*D58)/E59</f>
        <v>18.938246166898978</v>
      </c>
    </row>
    <row r="70" spans="2:11" ht="12">
      <c r="B70" s="305" t="s">
        <v>519</v>
      </c>
      <c r="C70" s="210"/>
      <c r="D70" s="229" t="s">
        <v>564</v>
      </c>
      <c r="E70" s="336">
        <v>37.33</v>
      </c>
      <c r="F70" s="337">
        <v>2</v>
      </c>
      <c r="G70" s="210" t="s">
        <v>510</v>
      </c>
      <c r="H70" s="342"/>
      <c r="I70" s="210"/>
      <c r="J70" s="231">
        <f>(E70/880)*F70*$D$58/$E$59</f>
        <v>0.10711586809247559</v>
      </c>
      <c r="K70" s="99"/>
    </row>
    <row r="71" spans="2:11" ht="12">
      <c r="B71" s="354"/>
      <c r="C71" s="210"/>
      <c r="D71" s="229" t="s">
        <v>565</v>
      </c>
      <c r="E71" s="336">
        <v>7</v>
      </c>
      <c r="F71" s="337">
        <v>2</v>
      </c>
      <c r="G71" s="210" t="s">
        <v>510</v>
      </c>
      <c r="H71" s="342"/>
      <c r="I71" s="210"/>
      <c r="J71" s="231">
        <f>(E71/880)*F71*$D$58/$E$59</f>
        <v>0.02008601866186255</v>
      </c>
      <c r="K71" s="99"/>
    </row>
    <row r="72" spans="2:11" ht="12">
      <c r="B72" s="354"/>
      <c r="C72" s="210"/>
      <c r="D72" s="229" t="s">
        <v>566</v>
      </c>
      <c r="E72" s="336">
        <v>0</v>
      </c>
      <c r="F72" s="302"/>
      <c r="G72" s="355" t="s">
        <v>525</v>
      </c>
      <c r="H72" s="351"/>
      <c r="I72" s="350"/>
      <c r="J72" s="238">
        <f>(E72/880)*F72*$D$58/$E$59</f>
        <v>0</v>
      </c>
      <c r="K72" s="99"/>
    </row>
    <row r="73" spans="2:11" ht="12">
      <c r="B73" s="354"/>
      <c r="C73" s="356"/>
      <c r="D73" s="210"/>
      <c r="E73" s="313"/>
      <c r="F73" s="210"/>
      <c r="G73" s="210"/>
      <c r="H73" s="342"/>
      <c r="I73" s="210"/>
      <c r="J73" s="231"/>
      <c r="K73" s="99"/>
    </row>
    <row r="74" spans="2:11" ht="12">
      <c r="B74" s="160"/>
      <c r="C74" s="210"/>
      <c r="D74" s="161"/>
      <c r="E74" s="161"/>
      <c r="F74" s="161"/>
      <c r="G74" s="161"/>
      <c r="H74" s="177" t="s">
        <v>356</v>
      </c>
      <c r="I74" s="161"/>
      <c r="J74" s="244">
        <f>SUM(J62:J73)</f>
        <v>167.20544805365333</v>
      </c>
      <c r="K74" s="53"/>
    </row>
    <row r="75" spans="2:11" ht="12">
      <c r="B75" s="160"/>
      <c r="C75" s="210"/>
      <c r="D75" s="210"/>
      <c r="E75" s="210"/>
      <c r="F75" s="210"/>
      <c r="G75" s="210"/>
      <c r="H75" s="229" t="s">
        <v>360</v>
      </c>
      <c r="I75" s="360">
        <v>0.06</v>
      </c>
      <c r="J75" s="231">
        <f>J74*I75/2</f>
        <v>5.016163441609599</v>
      </c>
      <c r="K75" s="99"/>
    </row>
    <row r="76" spans="2:11" s="43" customFormat="1" ht="12" customHeight="1">
      <c r="B76" s="160"/>
      <c r="C76" s="210"/>
      <c r="D76" s="161"/>
      <c r="E76" s="161"/>
      <c r="F76" s="161"/>
      <c r="G76" s="161"/>
      <c r="H76" s="177" t="s">
        <v>361</v>
      </c>
      <c r="I76" s="357"/>
      <c r="J76" s="244">
        <f>SUM(J74:J75)</f>
        <v>172.22161149526292</v>
      </c>
      <c r="K76" s="53"/>
    </row>
    <row r="77" spans="2:11" s="43" customFormat="1" ht="12" customHeight="1" thickBot="1">
      <c r="B77" s="214"/>
      <c r="C77" s="186"/>
      <c r="D77" s="314"/>
      <c r="E77" s="314"/>
      <c r="F77" s="314"/>
      <c r="G77" s="314"/>
      <c r="H77" s="184" t="s">
        <v>456</v>
      </c>
      <c r="I77" s="314"/>
      <c r="J77" s="289">
        <f>(J76*E59)/D58/D56+J20</f>
        <v>1.4580182043855454</v>
      </c>
      <c r="K77" s="53"/>
    </row>
    <row r="78" spans="2:11" s="43" customFormat="1" ht="12" customHeight="1">
      <c r="B78" s="9"/>
      <c r="C78" s="15"/>
      <c r="D78" s="46"/>
      <c r="E78" s="15"/>
      <c r="F78" s="15"/>
      <c r="G78" s="15"/>
      <c r="H78" s="50"/>
      <c r="I78" s="51"/>
      <c r="J78" s="51"/>
      <c r="K78" s="92"/>
    </row>
    <row r="79" spans="2:11" s="43" customFormat="1" ht="12" customHeight="1">
      <c r="B79" s="384" t="s">
        <v>573</v>
      </c>
      <c r="C79" s="15"/>
      <c r="D79" s="46"/>
      <c r="E79" s="15"/>
      <c r="F79" s="15"/>
      <c r="G79" s="15"/>
      <c r="H79" s="50"/>
      <c r="J79" s="17"/>
      <c r="K79" s="103"/>
    </row>
    <row r="80" spans="2:11" s="43" customFormat="1" ht="16.5" customHeight="1">
      <c r="B80" s="384"/>
      <c r="C80" s="15"/>
      <c r="D80" s="46"/>
      <c r="E80" s="15"/>
      <c r="F80" s="15"/>
      <c r="G80" s="15"/>
      <c r="H80" s="50"/>
      <c r="J80" s="17"/>
      <c r="K80" s="103"/>
    </row>
    <row r="81" spans="2:11" s="43" customFormat="1" ht="12" customHeight="1" thickBot="1">
      <c r="B81" s="64"/>
      <c r="C81" s="15"/>
      <c r="D81" s="46"/>
      <c r="E81" s="15"/>
      <c r="F81" s="15"/>
      <c r="G81" s="15"/>
      <c r="H81" s="50"/>
      <c r="J81" s="17"/>
      <c r="K81" s="103"/>
    </row>
    <row r="82" spans="1:11" s="43" customFormat="1" ht="12" customHeight="1">
      <c r="A82" s="9"/>
      <c r="B82" s="746" t="s">
        <v>260</v>
      </c>
      <c r="C82" s="361"/>
      <c r="D82" s="361"/>
      <c r="E82" s="361"/>
      <c r="F82" s="361"/>
      <c r="G82" s="361"/>
      <c r="H82" s="361"/>
      <c r="I82" s="361"/>
      <c r="J82" s="362"/>
      <c r="K82" s="103"/>
    </row>
    <row r="83" spans="1:11" s="43" customFormat="1" ht="12" customHeight="1">
      <c r="A83" s="9"/>
      <c r="B83" s="160" t="s">
        <v>201</v>
      </c>
      <c r="C83" s="363"/>
      <c r="D83" s="363"/>
      <c r="E83" s="363"/>
      <c r="F83" s="363"/>
      <c r="G83" s="363"/>
      <c r="H83" s="363"/>
      <c r="I83" s="363"/>
      <c r="J83" s="364"/>
      <c r="K83" s="103"/>
    </row>
    <row r="84" spans="1:11" s="43" customFormat="1" ht="12" customHeight="1">
      <c r="A84" s="9"/>
      <c r="B84" s="160" t="s">
        <v>119</v>
      </c>
      <c r="C84" s="210"/>
      <c r="D84" s="684">
        <f>'1 Inputs'!J18+'1 Inputs'!J19+'1 Inputs'!J20</f>
        <v>266.34617</v>
      </c>
      <c r="E84" s="210" t="s">
        <v>186</v>
      </c>
      <c r="F84" s="685">
        <f>'7 Forage Production'!H84</f>
        <v>59.555733213141025</v>
      </c>
      <c r="G84" s="210" t="s">
        <v>187</v>
      </c>
      <c r="H84" s="210"/>
      <c r="I84" s="210"/>
      <c r="J84" s="310">
        <f>F84*D84</f>
        <v>15862.441442861904</v>
      </c>
      <c r="K84" s="103"/>
    </row>
    <row r="85" spans="1:11" s="43" customFormat="1" ht="12" customHeight="1">
      <c r="A85" s="9"/>
      <c r="B85" s="160" t="s">
        <v>16</v>
      </c>
      <c r="C85" s="210"/>
      <c r="D85" s="316"/>
      <c r="E85" s="210" t="s">
        <v>186</v>
      </c>
      <c r="F85" s="337"/>
      <c r="G85" s="210" t="s">
        <v>187</v>
      </c>
      <c r="H85" s="210"/>
      <c r="I85" s="210"/>
      <c r="J85" s="310">
        <f>F85*D85</f>
        <v>0</v>
      </c>
      <c r="K85" s="103"/>
    </row>
    <row r="86" spans="1:11" s="43" customFormat="1" ht="12" customHeight="1">
      <c r="A86" s="9"/>
      <c r="B86" s="160" t="s">
        <v>188</v>
      </c>
      <c r="C86" s="337">
        <v>2</v>
      </c>
      <c r="D86" s="365" t="s">
        <v>14</v>
      </c>
      <c r="E86" s="350"/>
      <c r="F86" s="336">
        <v>15</v>
      </c>
      <c r="G86" s="350" t="s">
        <v>189</v>
      </c>
      <c r="H86" s="350"/>
      <c r="I86" s="350"/>
      <c r="J86" s="366">
        <f>I11*F86*C86</f>
        <v>3480</v>
      </c>
      <c r="K86" s="103"/>
    </row>
    <row r="87" spans="1:11" s="43" customFormat="1" ht="12" customHeight="1">
      <c r="A87" s="9"/>
      <c r="B87" s="160" t="s">
        <v>519</v>
      </c>
      <c r="C87" s="210"/>
      <c r="D87" s="210"/>
      <c r="E87" s="210"/>
      <c r="F87" s="210"/>
      <c r="G87" s="210"/>
      <c r="H87" s="311"/>
      <c r="I87" s="210"/>
      <c r="J87" s="310"/>
      <c r="K87" s="103"/>
    </row>
    <row r="88" spans="1:11" s="43" customFormat="1" ht="12" customHeight="1">
      <c r="A88" s="9"/>
      <c r="B88" s="239" t="s">
        <v>508</v>
      </c>
      <c r="C88" s="210" t="s">
        <v>342</v>
      </c>
      <c r="D88" s="336">
        <v>37.33</v>
      </c>
      <c r="E88" s="337">
        <v>2</v>
      </c>
      <c r="F88" s="210" t="s">
        <v>510</v>
      </c>
      <c r="G88" s="210"/>
      <c r="H88" s="210"/>
      <c r="I88" s="210"/>
      <c r="J88" s="310">
        <f>(D88/880)*E88*D10*I11</f>
        <v>1633.6965454545455</v>
      </c>
      <c r="K88" s="103"/>
    </row>
    <row r="89" spans="1:11" s="43" customFormat="1" ht="12" customHeight="1">
      <c r="A89" s="9"/>
      <c r="B89" s="239" t="s">
        <v>509</v>
      </c>
      <c r="C89" s="210" t="s">
        <v>342</v>
      </c>
      <c r="D89" s="336">
        <v>7</v>
      </c>
      <c r="E89" s="337">
        <v>2</v>
      </c>
      <c r="F89" s="210" t="s">
        <v>510</v>
      </c>
      <c r="G89" s="210"/>
      <c r="H89" s="210"/>
      <c r="I89" s="210"/>
      <c r="J89" s="310">
        <f>(D89/880)*E89*D10*I11</f>
        <v>306.3454545454545</v>
      </c>
      <c r="K89" s="103"/>
    </row>
    <row r="90" spans="1:11" s="43" customFormat="1" ht="12" customHeight="1">
      <c r="A90" s="9"/>
      <c r="B90" s="239" t="s">
        <v>520</v>
      </c>
      <c r="C90" s="210" t="s">
        <v>572</v>
      </c>
      <c r="D90" s="336">
        <v>0</v>
      </c>
      <c r="E90" s="302"/>
      <c r="F90" s="355" t="s">
        <v>525</v>
      </c>
      <c r="G90" s="350"/>
      <c r="H90" s="350"/>
      <c r="I90" s="350"/>
      <c r="J90" s="366">
        <f>E90*D90</f>
        <v>0</v>
      </c>
      <c r="K90" s="103"/>
    </row>
    <row r="91" spans="1:11" s="43" customFormat="1" ht="12" customHeight="1">
      <c r="A91" s="9"/>
      <c r="B91" s="160" t="s">
        <v>15</v>
      </c>
      <c r="C91" s="210"/>
      <c r="D91" s="210"/>
      <c r="E91" s="350"/>
      <c r="F91" s="350"/>
      <c r="G91" s="350"/>
      <c r="H91" s="350"/>
      <c r="I91" s="350"/>
      <c r="J91" s="366"/>
      <c r="K91" s="103"/>
    </row>
    <row r="92" spans="1:11" s="43" customFormat="1" ht="12" customHeight="1">
      <c r="A92" s="9"/>
      <c r="B92" s="239" t="s">
        <v>574</v>
      </c>
      <c r="C92" s="210" t="s">
        <v>365</v>
      </c>
      <c r="D92" s="336">
        <v>16.04</v>
      </c>
      <c r="E92" s="367"/>
      <c r="F92" s="210"/>
      <c r="G92" s="210"/>
      <c r="H92" s="210"/>
      <c r="I92" s="210"/>
      <c r="J92" s="310">
        <f>D92*I11</f>
        <v>1860.6399999999999</v>
      </c>
      <c r="K92" s="103"/>
    </row>
    <row r="93" spans="2:11" ht="15">
      <c r="B93" s="239" t="s">
        <v>522</v>
      </c>
      <c r="C93" s="210" t="s">
        <v>512</v>
      </c>
      <c r="D93" s="336">
        <v>0</v>
      </c>
      <c r="E93" s="210"/>
      <c r="F93" s="210"/>
      <c r="G93" s="210"/>
      <c r="H93" s="210"/>
      <c r="I93" s="210"/>
      <c r="J93" s="310">
        <f>D93*$I$11</f>
        <v>0</v>
      </c>
      <c r="K93" s="104"/>
    </row>
    <row r="94" spans="2:11" ht="15">
      <c r="B94" s="239" t="s">
        <v>523</v>
      </c>
      <c r="C94" s="210" t="s">
        <v>512</v>
      </c>
      <c r="D94" s="336">
        <v>0</v>
      </c>
      <c r="E94" s="210"/>
      <c r="F94" s="210"/>
      <c r="G94" s="210"/>
      <c r="H94" s="210"/>
      <c r="I94" s="210"/>
      <c r="J94" s="310">
        <f>D94*$I$11</f>
        <v>0</v>
      </c>
      <c r="K94" s="104"/>
    </row>
    <row r="95" spans="2:11" ht="12">
      <c r="B95" s="239" t="s">
        <v>524</v>
      </c>
      <c r="C95" s="210" t="s">
        <v>512</v>
      </c>
      <c r="D95" s="336">
        <v>0</v>
      </c>
      <c r="E95" s="210"/>
      <c r="F95" s="210"/>
      <c r="G95" s="210"/>
      <c r="H95" s="210"/>
      <c r="I95" s="210"/>
      <c r="J95" s="310">
        <f>D95*$I$11</f>
        <v>0</v>
      </c>
      <c r="K95" s="66"/>
    </row>
    <row r="96" spans="2:11" ht="12">
      <c r="B96" s="160" t="s">
        <v>575</v>
      </c>
      <c r="C96" s="210"/>
      <c r="D96" s="316">
        <v>30</v>
      </c>
      <c r="E96" s="210" t="s">
        <v>366</v>
      </c>
      <c r="F96" s="210"/>
      <c r="G96" s="210"/>
      <c r="H96" s="210"/>
      <c r="I96" s="210"/>
      <c r="J96" s="310">
        <f>D96*I11</f>
        <v>3480</v>
      </c>
      <c r="K96" s="66"/>
    </row>
    <row r="97" spans="2:11" ht="12">
      <c r="B97" s="160" t="s">
        <v>204</v>
      </c>
      <c r="C97" s="210"/>
      <c r="D97" s="316">
        <v>50</v>
      </c>
      <c r="E97" s="210" t="s">
        <v>377</v>
      </c>
      <c r="F97" s="210"/>
      <c r="G97" s="210"/>
      <c r="H97" s="210"/>
      <c r="I97" s="210"/>
      <c r="J97" s="310">
        <f>(D10/12)*D97</f>
        <v>691.6666666666667</v>
      </c>
      <c r="K97" s="66"/>
    </row>
    <row r="98" spans="2:11" ht="12">
      <c r="B98" s="160" t="s">
        <v>339</v>
      </c>
      <c r="C98" s="210"/>
      <c r="D98" s="337">
        <v>2</v>
      </c>
      <c r="E98" s="311" t="s">
        <v>380</v>
      </c>
      <c r="F98" s="316">
        <v>15</v>
      </c>
      <c r="G98" s="355" t="s">
        <v>381</v>
      </c>
      <c r="H98" s="350"/>
      <c r="I98" s="350"/>
      <c r="J98" s="366">
        <f>D98*F98*D10</f>
        <v>4980</v>
      </c>
      <c r="K98" s="66"/>
    </row>
    <row r="99" spans="2:11" ht="12">
      <c r="B99" s="160"/>
      <c r="C99" s="210"/>
      <c r="D99" s="311"/>
      <c r="E99" s="210"/>
      <c r="F99" s="210"/>
      <c r="G99" s="210"/>
      <c r="H99" s="161" t="s">
        <v>545</v>
      </c>
      <c r="I99" s="210"/>
      <c r="J99" s="310">
        <f>SUM(J84:J96)</f>
        <v>26623.123442861906</v>
      </c>
      <c r="K99" s="66"/>
    </row>
    <row r="100" spans="2:11" ht="12">
      <c r="B100" s="160"/>
      <c r="C100" s="210"/>
      <c r="D100" s="311"/>
      <c r="E100" s="210"/>
      <c r="F100" s="210"/>
      <c r="G100" s="210"/>
      <c r="H100" s="311" t="s">
        <v>357</v>
      </c>
      <c r="I100" s="318">
        <v>0.06</v>
      </c>
      <c r="J100" s="310">
        <f>(J99/2)*I100</f>
        <v>798.6937032858572</v>
      </c>
      <c r="K100" s="66"/>
    </row>
    <row r="101" spans="2:11" ht="12">
      <c r="B101" s="160"/>
      <c r="C101" s="210"/>
      <c r="D101" s="311"/>
      <c r="E101" s="210"/>
      <c r="F101" s="210"/>
      <c r="G101" s="210"/>
      <c r="H101" s="281" t="s">
        <v>176</v>
      </c>
      <c r="I101" s="350"/>
      <c r="J101" s="366">
        <f>SUM(J99:J100)</f>
        <v>27421.817146147765</v>
      </c>
      <c r="K101" s="66"/>
    </row>
    <row r="102" spans="2:11" ht="26.25" customHeight="1">
      <c r="B102" s="160"/>
      <c r="C102" s="210"/>
      <c r="D102" s="311"/>
      <c r="E102" s="210"/>
      <c r="F102" s="210"/>
      <c r="G102" s="210"/>
      <c r="H102" s="210"/>
      <c r="I102" s="161" t="s">
        <v>370</v>
      </c>
      <c r="J102" s="244">
        <f>J101/I11/D10</f>
        <v>1.424066116854371</v>
      </c>
      <c r="K102" s="66"/>
    </row>
    <row r="103" spans="2:11" ht="12">
      <c r="B103" s="253" t="s">
        <v>235</v>
      </c>
      <c r="C103" s="161" t="s">
        <v>17</v>
      </c>
      <c r="D103" s="325"/>
      <c r="E103" s="161"/>
      <c r="F103" s="161"/>
      <c r="G103" s="161"/>
      <c r="H103" s="161"/>
      <c r="I103" s="161"/>
      <c r="J103" s="244"/>
      <c r="K103" s="66"/>
    </row>
    <row r="104" spans="2:11" ht="24">
      <c r="B104" s="582" t="s">
        <v>367</v>
      </c>
      <c r="C104" s="316">
        <v>6000</v>
      </c>
      <c r="D104" s="311"/>
      <c r="E104" s="210"/>
      <c r="F104" s="210"/>
      <c r="G104" s="210"/>
      <c r="H104" s="210"/>
      <c r="I104" s="210"/>
      <c r="J104" s="231"/>
      <c r="K104" s="66"/>
    </row>
    <row r="105" spans="2:11" ht="12">
      <c r="B105" s="160" t="s">
        <v>331</v>
      </c>
      <c r="C105" s="316">
        <v>5000</v>
      </c>
      <c r="D105" s="311"/>
      <c r="E105" s="210"/>
      <c r="F105" s="210"/>
      <c r="G105" s="210"/>
      <c r="H105" s="210"/>
      <c r="I105" s="210"/>
      <c r="J105" s="310"/>
      <c r="K105" s="66"/>
    </row>
    <row r="106" spans="2:11" ht="12">
      <c r="B106" s="160" t="s">
        <v>368</v>
      </c>
      <c r="C106" s="316">
        <v>4000</v>
      </c>
      <c r="D106" s="311"/>
      <c r="E106" s="210"/>
      <c r="F106" s="210" t="s">
        <v>332</v>
      </c>
      <c r="G106" s="210"/>
      <c r="H106" s="210"/>
      <c r="I106" s="210"/>
      <c r="J106" s="310"/>
      <c r="K106" s="66"/>
    </row>
    <row r="107" spans="2:11" ht="12">
      <c r="B107" s="160" t="s">
        <v>330</v>
      </c>
      <c r="C107" s="316">
        <v>5500</v>
      </c>
      <c r="D107" s="368"/>
      <c r="E107" s="311">
        <f>C111</f>
        <v>20500</v>
      </c>
      <c r="F107" s="318">
        <v>0.04</v>
      </c>
      <c r="G107" s="210"/>
      <c r="H107" s="210"/>
      <c r="I107" s="210"/>
      <c r="J107" s="310">
        <f>(C111*F107)/2</f>
        <v>410</v>
      </c>
      <c r="K107" s="66"/>
    </row>
    <row r="108" spans="2:11" ht="12">
      <c r="B108" s="160" t="s">
        <v>195</v>
      </c>
      <c r="C108" s="316">
        <v>0</v>
      </c>
      <c r="D108" s="368"/>
      <c r="E108" s="311">
        <f>C108</f>
        <v>0</v>
      </c>
      <c r="F108" s="318">
        <v>0.04</v>
      </c>
      <c r="G108" s="210"/>
      <c r="H108" s="210"/>
      <c r="I108" s="210"/>
      <c r="J108" s="310">
        <f>(E108*F108)/2</f>
        <v>0</v>
      </c>
      <c r="K108" s="66"/>
    </row>
    <row r="109" spans="2:11" ht="12">
      <c r="B109" s="160"/>
      <c r="C109" s="316">
        <v>0</v>
      </c>
      <c r="D109" s="368"/>
      <c r="E109" s="311">
        <f>C109</f>
        <v>0</v>
      </c>
      <c r="F109" s="318">
        <v>0.04</v>
      </c>
      <c r="G109" s="210"/>
      <c r="H109" s="210"/>
      <c r="I109" s="210"/>
      <c r="J109" s="310">
        <f>(E109*F109)/2</f>
        <v>0</v>
      </c>
      <c r="K109" s="66"/>
    </row>
    <row r="110" spans="2:11" ht="22.5" customHeight="1">
      <c r="B110" s="160"/>
      <c r="C110" s="316">
        <v>0</v>
      </c>
      <c r="D110" s="368"/>
      <c r="E110" s="311">
        <f>C110</f>
        <v>0</v>
      </c>
      <c r="F110" s="318">
        <v>0.04</v>
      </c>
      <c r="G110" s="210"/>
      <c r="H110" s="210"/>
      <c r="I110" s="210"/>
      <c r="J110" s="310">
        <f>(E110*F110)/2</f>
        <v>0</v>
      </c>
      <c r="K110" s="66"/>
    </row>
    <row r="111" spans="2:11" ht="12">
      <c r="B111" s="369" t="s">
        <v>176</v>
      </c>
      <c r="C111" s="311">
        <f>SUM(C104:C107)</f>
        <v>20500</v>
      </c>
      <c r="D111" s="370"/>
      <c r="E111" s="371"/>
      <c r="F111" s="210"/>
      <c r="G111" s="371"/>
      <c r="H111" s="372" t="s">
        <v>545</v>
      </c>
      <c r="I111" s="373"/>
      <c r="J111" s="374">
        <f>SUM(J107:J110)</f>
        <v>410</v>
      </c>
      <c r="K111" s="66"/>
    </row>
    <row r="112" spans="2:11" ht="12">
      <c r="B112" s="160"/>
      <c r="C112" s="210"/>
      <c r="D112" s="311"/>
      <c r="E112" s="210"/>
      <c r="F112" s="210"/>
      <c r="G112" s="210"/>
      <c r="H112" s="210" t="s">
        <v>357</v>
      </c>
      <c r="I112" s="377">
        <v>0.06</v>
      </c>
      <c r="J112" s="310">
        <f>I112*J111/2</f>
        <v>12.299999999999999</v>
      </c>
      <c r="K112" s="66"/>
    </row>
    <row r="113" spans="2:11" ht="12">
      <c r="B113" s="160"/>
      <c r="C113" s="210"/>
      <c r="D113" s="311"/>
      <c r="E113" s="210"/>
      <c r="F113" s="210"/>
      <c r="G113" s="210"/>
      <c r="H113" s="281" t="s">
        <v>176</v>
      </c>
      <c r="I113" s="277"/>
      <c r="J113" s="375">
        <f>SUM(J111:J112)</f>
        <v>422.3</v>
      </c>
      <c r="K113" s="53"/>
    </row>
    <row r="114" spans="2:11" ht="12">
      <c r="B114" s="160"/>
      <c r="C114" s="210"/>
      <c r="D114" s="311"/>
      <c r="E114" s="210"/>
      <c r="F114" s="210"/>
      <c r="G114" s="210"/>
      <c r="H114" s="210"/>
      <c r="I114" s="250" t="s">
        <v>370</v>
      </c>
      <c r="J114" s="244">
        <f>J113/D10/I11</f>
        <v>0.02193082675529705</v>
      </c>
      <c r="K114" s="53"/>
    </row>
    <row r="115" spans="2:11" ht="12">
      <c r="B115" s="160"/>
      <c r="C115" s="210"/>
      <c r="D115" s="311"/>
      <c r="E115" s="210"/>
      <c r="F115" s="210"/>
      <c r="G115" s="210"/>
      <c r="H115" s="210"/>
      <c r="I115" s="229"/>
      <c r="J115" s="310"/>
      <c r="K115" s="99"/>
    </row>
    <row r="116" spans="2:11" ht="12">
      <c r="B116" s="160"/>
      <c r="C116" s="210"/>
      <c r="D116" s="210"/>
      <c r="E116" s="210"/>
      <c r="F116" s="210"/>
      <c r="G116" s="210"/>
      <c r="H116" s="210"/>
      <c r="I116" s="372" t="s">
        <v>176</v>
      </c>
      <c r="J116" s="374">
        <f>J101+J16+J20</f>
        <v>27422.21173518886</v>
      </c>
      <c r="K116" s="66"/>
    </row>
    <row r="117" spans="2:11" ht="12">
      <c r="B117" s="160"/>
      <c r="C117" s="210"/>
      <c r="D117" s="210"/>
      <c r="E117" s="210"/>
      <c r="F117" s="210"/>
      <c r="G117" s="210"/>
      <c r="H117" s="210"/>
      <c r="I117" s="161" t="s">
        <v>355</v>
      </c>
      <c r="J117" s="231">
        <f>J116/I11</f>
        <v>236.39837702749017</v>
      </c>
      <c r="K117" s="66"/>
    </row>
    <row r="118" spans="2:11" ht="12.75" thickBot="1">
      <c r="B118" s="214"/>
      <c r="C118" s="186"/>
      <c r="D118" s="186"/>
      <c r="E118" s="186"/>
      <c r="F118" s="186"/>
      <c r="G118" s="186"/>
      <c r="H118" s="186"/>
      <c r="I118" s="314" t="s">
        <v>488</v>
      </c>
      <c r="J118" s="376">
        <f>J117/D10+J20</f>
        <v>1.7061756496952287</v>
      </c>
      <c r="K118" s="66"/>
    </row>
    <row r="119" ht="12">
      <c r="K119" s="66"/>
    </row>
    <row r="120" spans="2:11" ht="13.5">
      <c r="B120" s="379" t="s">
        <v>406</v>
      </c>
      <c r="C120" s="380"/>
      <c r="D120" s="380"/>
      <c r="E120" s="380"/>
      <c r="F120" s="380"/>
      <c r="G120" s="380"/>
      <c r="H120" s="380"/>
      <c r="I120" s="381"/>
      <c r="J120" s="381"/>
      <c r="K120" s="92"/>
    </row>
    <row r="121" spans="2:11" ht="13.5">
      <c r="B121" s="382" t="s">
        <v>86</v>
      </c>
      <c r="C121" s="382"/>
      <c r="D121" s="382"/>
      <c r="E121" s="382"/>
      <c r="F121" s="380"/>
      <c r="G121" s="380"/>
      <c r="H121" s="380"/>
      <c r="I121" s="381"/>
      <c r="J121" s="381"/>
      <c r="K121" s="92"/>
    </row>
    <row r="122" spans="2:11" ht="13.5">
      <c r="B122" s="382" t="s">
        <v>87</v>
      </c>
      <c r="C122" s="382"/>
      <c r="D122" s="382"/>
      <c r="E122" s="382"/>
      <c r="F122" s="380"/>
      <c r="G122" s="380"/>
      <c r="H122" s="380"/>
      <c r="I122" s="381"/>
      <c r="J122" s="381"/>
      <c r="K122" s="92"/>
    </row>
    <row r="123" spans="2:11" ht="13.5">
      <c r="B123" s="383" t="s">
        <v>88</v>
      </c>
      <c r="C123" s="382"/>
      <c r="D123" s="382"/>
      <c r="E123" s="382"/>
      <c r="F123" s="380"/>
      <c r="G123" s="380"/>
      <c r="H123" s="380"/>
      <c r="I123" s="381"/>
      <c r="J123" s="381"/>
      <c r="K123" s="92"/>
    </row>
    <row r="124" spans="2:11" ht="13.5">
      <c r="B124" s="382" t="s">
        <v>89</v>
      </c>
      <c r="C124" s="382"/>
      <c r="D124" s="382"/>
      <c r="E124" s="382"/>
      <c r="F124" s="380"/>
      <c r="G124" s="380"/>
      <c r="H124" s="380"/>
      <c r="I124" s="381"/>
      <c r="J124" s="381"/>
      <c r="K124" s="92"/>
    </row>
    <row r="125" spans="2:11" ht="13.5">
      <c r="B125" s="382" t="s">
        <v>90</v>
      </c>
      <c r="C125" s="382"/>
      <c r="D125" s="382"/>
      <c r="E125" s="382"/>
      <c r="F125" s="380"/>
      <c r="G125" s="380"/>
      <c r="H125" s="380"/>
      <c r="I125" s="381"/>
      <c r="J125" s="381"/>
      <c r="K125" s="92"/>
    </row>
    <row r="126" spans="2:11" ht="13.5">
      <c r="B126" s="382" t="s">
        <v>37</v>
      </c>
      <c r="C126" s="382"/>
      <c r="D126" s="382"/>
      <c r="E126" s="382"/>
      <c r="F126" s="380"/>
      <c r="G126" s="380"/>
      <c r="H126" s="380"/>
      <c r="I126" s="381"/>
      <c r="J126" s="381"/>
      <c r="K126" s="92"/>
    </row>
    <row r="127" ht="12">
      <c r="K127" s="66"/>
    </row>
    <row r="128" ht="12">
      <c r="K128" s="66"/>
    </row>
    <row r="129" ht="12">
      <c r="K129" s="52"/>
    </row>
    <row r="130" ht="12">
      <c r="K130" s="66"/>
    </row>
    <row r="131" ht="12">
      <c r="K131" s="52"/>
    </row>
    <row r="132" ht="12">
      <c r="K132" s="53"/>
    </row>
    <row r="133" ht="12">
      <c r="K133" s="66"/>
    </row>
    <row r="134" ht="12">
      <c r="K134" s="52"/>
    </row>
    <row r="135" ht="12">
      <c r="K135" s="99"/>
    </row>
    <row r="136" ht="12">
      <c r="K136" s="99"/>
    </row>
  </sheetData>
  <sheetProtection sheet="1" objects="1" scenarios="1" selectLockedCells="1"/>
  <mergeCells count="2">
    <mergeCell ref="G12:I12"/>
    <mergeCell ref="B6:J6"/>
  </mergeCells>
  <printOptions/>
  <pageMargins left="0.59" right="0.51" top="0.6" bottom="0.4100000000000001" header="0.5" footer="0.5"/>
  <pageSetup horizontalDpi="600" verticalDpi="600" orientation="portrait"/>
  <rowBreaks count="2" manualBreakCount="2">
    <brk id="52" min="1" max="9" man="1"/>
    <brk id="80" max="255" man="1"/>
  </rowBreaks>
  <drawing r:id="rId1"/>
</worksheet>
</file>

<file path=xl/worksheets/sheet4.xml><?xml version="1.0" encoding="utf-8"?>
<worksheet xmlns="http://schemas.openxmlformats.org/spreadsheetml/2006/main" xmlns:r="http://schemas.openxmlformats.org/officeDocument/2006/relationships">
  <sheetPr codeName="Sheet4"/>
  <dimension ref="B2:R41"/>
  <sheetViews>
    <sheetView defaultGridColor="0" zoomScalePageLayoutView="0" colorId="55" workbookViewId="0" topLeftCell="A1">
      <selection activeCell="D15" sqref="D15"/>
    </sheetView>
  </sheetViews>
  <sheetFormatPr defaultColWidth="9.00390625" defaultRowHeight="12.75"/>
  <cols>
    <col min="1" max="1" width="2.625" style="9" customWidth="1"/>
    <col min="2" max="2" width="12.625" style="5" customWidth="1"/>
    <col min="3" max="3" width="8.625" style="5" customWidth="1"/>
    <col min="4" max="4" width="12.875" style="5" customWidth="1"/>
    <col min="5" max="5" width="9.00390625" style="5" customWidth="1"/>
    <col min="6" max="6" width="9.625" style="5" customWidth="1"/>
    <col min="7" max="8" width="9.00390625" style="5" customWidth="1"/>
    <col min="9" max="9" width="8.875" style="5" customWidth="1"/>
    <col min="10" max="10" width="8.125" style="2" customWidth="1"/>
    <col min="11" max="11" width="7.625" style="101" customWidth="1"/>
    <col min="12" max="12" width="35.625" style="5" customWidth="1"/>
    <col min="13" max="13" width="9.00390625" style="5" customWidth="1"/>
    <col min="14" max="16384" width="9.00390625" style="9" customWidth="1"/>
  </cols>
  <sheetData>
    <row r="1" ht="15" customHeight="1"/>
    <row r="2" spans="4:18" ht="31.5" customHeight="1">
      <c r="D2" s="11"/>
      <c r="G2" s="19"/>
      <c r="H2" s="19"/>
      <c r="I2" s="41"/>
      <c r="J2" s="49"/>
      <c r="K2" s="97"/>
      <c r="L2" s="61"/>
      <c r="N2" s="47"/>
      <c r="O2" s="47"/>
      <c r="P2" s="47"/>
      <c r="Q2" s="47"/>
      <c r="R2" s="47"/>
    </row>
    <row r="3" ht="15" customHeight="1"/>
    <row r="4" ht="15" customHeight="1"/>
    <row r="5" ht="15" customHeight="1"/>
    <row r="6" spans="2:12" s="666" customFormat="1" ht="15" customHeight="1" thickBot="1">
      <c r="B6" s="706" t="s">
        <v>481</v>
      </c>
      <c r="C6" s="45"/>
      <c r="D6" s="45"/>
      <c r="E6" s="45"/>
      <c r="F6" s="45"/>
      <c r="G6" s="45"/>
      <c r="H6" s="45"/>
      <c r="I6" s="45"/>
      <c r="J6" s="45"/>
      <c r="K6" s="106"/>
      <c r="L6" s="668" t="s">
        <v>173</v>
      </c>
    </row>
    <row r="7" spans="2:13" ht="12">
      <c r="B7" s="306" t="s">
        <v>458</v>
      </c>
      <c r="C7" s="307"/>
      <c r="D7" s="709">
        <f>'1 Inputs'!D23</f>
        <v>83</v>
      </c>
      <c r="E7" s="710" t="s">
        <v>290</v>
      </c>
      <c r="F7" s="307"/>
      <c r="G7" s="307"/>
      <c r="H7" s="307"/>
      <c r="I7" s="307"/>
      <c r="J7" s="319"/>
      <c r="K7" s="66"/>
      <c r="L7" s="641"/>
      <c r="M7" s="652" t="str">
        <f>Summary!I2</f>
        <v>Cost/day</v>
      </c>
    </row>
    <row r="8" spans="2:13" ht="12">
      <c r="B8" s="305" t="s">
        <v>18</v>
      </c>
      <c r="C8" s="210"/>
      <c r="D8" s="712">
        <f>'1 Inputs'!H40</f>
        <v>227</v>
      </c>
      <c r="E8" s="169" t="s">
        <v>128</v>
      </c>
      <c r="F8" s="210"/>
      <c r="G8" s="210"/>
      <c r="H8" s="210"/>
      <c r="I8" s="210"/>
      <c r="J8" s="310"/>
      <c r="K8" s="66"/>
      <c r="L8" s="642" t="s">
        <v>130</v>
      </c>
      <c r="M8" s="651"/>
    </row>
    <row r="9" spans="2:13" ht="12">
      <c r="B9" s="305" t="s">
        <v>490</v>
      </c>
      <c r="C9" s="711">
        <f>'1 Inputs'!H23</f>
        <v>677</v>
      </c>
      <c r="D9" s="234" t="s">
        <v>491</v>
      </c>
      <c r="E9" s="713">
        <f>'1 Inputs'!I23</f>
        <v>0.033</v>
      </c>
      <c r="F9" s="234" t="s">
        <v>492</v>
      </c>
      <c r="G9" s="714">
        <f>'1 Inputs'!J23</f>
        <v>210.4633905</v>
      </c>
      <c r="H9" s="350" t="s">
        <v>349</v>
      </c>
      <c r="I9" s="350"/>
      <c r="J9" s="366"/>
      <c r="K9" s="66"/>
      <c r="L9" s="643" t="s">
        <v>91</v>
      </c>
      <c r="M9" s="653">
        <f>Summary!I4</f>
        <v>1.3559155438921406</v>
      </c>
    </row>
    <row r="10" spans="2:13" ht="12">
      <c r="B10" s="305"/>
      <c r="C10" s="169"/>
      <c r="D10" s="210"/>
      <c r="E10" s="385"/>
      <c r="F10" s="210"/>
      <c r="G10" s="386"/>
      <c r="H10" s="210"/>
      <c r="I10" s="210"/>
      <c r="J10" s="310"/>
      <c r="K10" s="66"/>
      <c r="L10" s="643" t="s">
        <v>314</v>
      </c>
      <c r="M10" s="653">
        <f>Summary!I5</f>
        <v>1.4580182043855454</v>
      </c>
    </row>
    <row r="11" spans="2:13" s="43" customFormat="1" ht="22.5" customHeight="1">
      <c r="B11" s="387" t="s">
        <v>201</v>
      </c>
      <c r="C11" s="281"/>
      <c r="D11" s="281"/>
      <c r="E11" s="281"/>
      <c r="F11" s="281"/>
      <c r="G11" s="281"/>
      <c r="H11" s="281"/>
      <c r="I11" s="281"/>
      <c r="J11" s="375" t="s">
        <v>589</v>
      </c>
      <c r="K11" s="94"/>
      <c r="L11" s="643" t="s">
        <v>56</v>
      </c>
      <c r="M11" s="654">
        <f>Summary!I6</f>
        <v>1.7061756496952287</v>
      </c>
    </row>
    <row r="12" spans="2:13" ht="12">
      <c r="B12" s="160" t="s">
        <v>202</v>
      </c>
      <c r="C12" s="210"/>
      <c r="D12" s="210"/>
      <c r="E12" s="684">
        <f>'1 Inputs'!J23</f>
        <v>210.4633905</v>
      </c>
      <c r="F12" s="210" t="s">
        <v>186</v>
      </c>
      <c r="G12" s="685">
        <f>'7 Forage Production'!H84</f>
        <v>59.555733213141025</v>
      </c>
      <c r="H12" s="210" t="s">
        <v>203</v>
      </c>
      <c r="I12" s="210"/>
      <c r="J12" s="310">
        <f>G12*E12</f>
        <v>12534.30153575112</v>
      </c>
      <c r="K12" s="66"/>
      <c r="L12" s="644" t="s">
        <v>176</v>
      </c>
      <c r="M12" s="655"/>
    </row>
    <row r="13" spans="2:13" ht="12">
      <c r="B13" s="160" t="s">
        <v>129</v>
      </c>
      <c r="C13" s="210"/>
      <c r="D13" s="210"/>
      <c r="E13" s="337"/>
      <c r="F13" s="350" t="s">
        <v>186</v>
      </c>
      <c r="G13" s="337"/>
      <c r="H13" s="350" t="s">
        <v>187</v>
      </c>
      <c r="I13" s="350"/>
      <c r="J13" s="366">
        <f>G13*E13</f>
        <v>0</v>
      </c>
      <c r="K13" s="66"/>
      <c r="L13" s="643" t="s">
        <v>55</v>
      </c>
      <c r="M13" s="656">
        <f>Summary!I8</f>
        <v>1.3559155438921406</v>
      </c>
    </row>
    <row r="14" spans="2:13" ht="10.5" customHeight="1">
      <c r="B14" s="160"/>
      <c r="C14" s="210"/>
      <c r="D14" s="210"/>
      <c r="E14" s="210"/>
      <c r="F14" s="210"/>
      <c r="G14" s="210"/>
      <c r="H14" s="210"/>
      <c r="I14" s="210"/>
      <c r="J14" s="310"/>
      <c r="K14" s="66"/>
      <c r="L14" s="645"/>
      <c r="M14" s="657">
        <f>Summary!I9</f>
        <v>559.2806133740416</v>
      </c>
    </row>
    <row r="15" spans="2:13" ht="12">
      <c r="B15" s="160" t="s">
        <v>188</v>
      </c>
      <c r="C15" s="210"/>
      <c r="D15" s="337">
        <v>2</v>
      </c>
      <c r="E15" s="311" t="s">
        <v>14</v>
      </c>
      <c r="F15" s="210"/>
      <c r="G15" s="336">
        <v>15</v>
      </c>
      <c r="H15" s="210" t="s">
        <v>189</v>
      </c>
      <c r="I15" s="210"/>
      <c r="J15" s="310">
        <f>D15*G15*D7</f>
        <v>2490</v>
      </c>
      <c r="K15" s="66"/>
      <c r="L15" s="646" t="s">
        <v>321</v>
      </c>
      <c r="M15" s="658"/>
    </row>
    <row r="16" spans="2:13" ht="12">
      <c r="B16" s="160" t="s">
        <v>508</v>
      </c>
      <c r="C16" s="229" t="s">
        <v>342</v>
      </c>
      <c r="D16" s="336">
        <v>37.33</v>
      </c>
      <c r="E16" s="337">
        <v>2</v>
      </c>
      <c r="F16" s="210" t="s">
        <v>510</v>
      </c>
      <c r="G16" s="210"/>
      <c r="H16" s="210"/>
      <c r="I16" s="210"/>
      <c r="J16" s="310">
        <f>(D16/880)*D8*D7</f>
        <v>799.2437840909091</v>
      </c>
      <c r="K16" s="66"/>
      <c r="L16" s="647" t="s">
        <v>298</v>
      </c>
      <c r="M16" s="659"/>
    </row>
    <row r="17" spans="2:13" ht="12">
      <c r="B17" s="160" t="s">
        <v>509</v>
      </c>
      <c r="C17" s="229" t="s">
        <v>342</v>
      </c>
      <c r="D17" s="336">
        <v>7</v>
      </c>
      <c r="E17" s="337">
        <v>2</v>
      </c>
      <c r="F17" s="210" t="s">
        <v>510</v>
      </c>
      <c r="G17" s="210"/>
      <c r="H17" s="210"/>
      <c r="I17" s="210"/>
      <c r="J17" s="310">
        <f>(D17/880)*D8*D7</f>
        <v>149.87159090909088</v>
      </c>
      <c r="K17" s="66"/>
      <c r="L17" s="643" t="s">
        <v>96</v>
      </c>
      <c r="M17" s="653">
        <f>Summary!I12</f>
        <v>1.4966344356687609</v>
      </c>
    </row>
    <row r="18" spans="2:13" ht="12">
      <c r="B18" s="160" t="s">
        <v>364</v>
      </c>
      <c r="C18" s="229" t="s">
        <v>365</v>
      </c>
      <c r="D18" s="336">
        <v>18.32</v>
      </c>
      <c r="E18" s="210"/>
      <c r="F18" s="210"/>
      <c r="G18" s="210"/>
      <c r="H18" s="210"/>
      <c r="I18" s="210"/>
      <c r="J18" s="310">
        <f>D18*D7</f>
        <v>1520.56</v>
      </c>
      <c r="K18" s="66"/>
      <c r="L18" s="644" t="s">
        <v>176</v>
      </c>
      <c r="M18" s="657">
        <f>Summary!I13</f>
        <v>339.73601689680874</v>
      </c>
    </row>
    <row r="19" spans="2:13" ht="12">
      <c r="B19" s="176" t="s">
        <v>522</v>
      </c>
      <c r="C19" s="229" t="s">
        <v>512</v>
      </c>
      <c r="D19" s="336">
        <v>0</v>
      </c>
      <c r="E19" s="210"/>
      <c r="F19" s="210"/>
      <c r="G19" s="210"/>
      <c r="H19" s="210"/>
      <c r="I19" s="210"/>
      <c r="J19" s="310">
        <f>D19*$D$7</f>
        <v>0</v>
      </c>
      <c r="K19" s="66"/>
      <c r="L19" s="647" t="s">
        <v>299</v>
      </c>
      <c r="M19" s="660"/>
    </row>
    <row r="20" spans="2:13" ht="12">
      <c r="B20" s="176" t="s">
        <v>523</v>
      </c>
      <c r="C20" s="229" t="s">
        <v>512</v>
      </c>
      <c r="D20" s="336">
        <v>0</v>
      </c>
      <c r="E20" s="210"/>
      <c r="F20" s="210"/>
      <c r="G20" s="210"/>
      <c r="H20" s="210"/>
      <c r="I20" s="210"/>
      <c r="J20" s="310">
        <f>D20*$D$7</f>
        <v>0</v>
      </c>
      <c r="K20" s="66"/>
      <c r="L20" s="643" t="s">
        <v>182</v>
      </c>
      <c r="M20" s="653">
        <f>Summary!I15</f>
        <v>0.6863955498209262</v>
      </c>
    </row>
    <row r="21" spans="2:13" ht="12">
      <c r="B21" s="176" t="s">
        <v>524</v>
      </c>
      <c r="C21" s="229" t="s">
        <v>512</v>
      </c>
      <c r="D21" s="336">
        <v>0</v>
      </c>
      <c r="E21" s="350"/>
      <c r="F21" s="350"/>
      <c r="G21" s="350"/>
      <c r="H21" s="350"/>
      <c r="I21" s="350"/>
      <c r="J21" s="366">
        <f>D21*$D$7</f>
        <v>0</v>
      </c>
      <c r="K21" s="66"/>
      <c r="L21" s="643" t="s">
        <v>317</v>
      </c>
      <c r="M21" s="654">
        <f>Summary!I16</f>
        <v>1.9272538531630068</v>
      </c>
    </row>
    <row r="22" spans="2:13" ht="12">
      <c r="B22" s="176"/>
      <c r="C22" s="229"/>
      <c r="D22" s="210"/>
      <c r="E22" s="210"/>
      <c r="F22" s="210"/>
      <c r="G22" s="210"/>
      <c r="H22" s="210"/>
      <c r="I22" s="210"/>
      <c r="J22" s="310"/>
      <c r="K22" s="66"/>
      <c r="L22" s="643" t="s">
        <v>181</v>
      </c>
      <c r="M22" s="657">
        <f>Summary!I17</f>
        <v>190.268675232628</v>
      </c>
    </row>
    <row r="23" spans="2:13" ht="14.25" customHeight="1">
      <c r="B23" s="160" t="s">
        <v>586</v>
      </c>
      <c r="C23" s="388"/>
      <c r="D23" s="210"/>
      <c r="E23" s="336">
        <v>6.2</v>
      </c>
      <c r="F23" s="210" t="s">
        <v>366</v>
      </c>
      <c r="G23" s="210"/>
      <c r="H23" s="210"/>
      <c r="I23" s="210"/>
      <c r="J23" s="310">
        <f>E23*D7</f>
        <v>514.6</v>
      </c>
      <c r="K23" s="66"/>
      <c r="L23" s="643" t="s">
        <v>288</v>
      </c>
      <c r="M23" s="657">
        <f>Summary!I18</f>
        <v>1089.2853055034784</v>
      </c>
    </row>
    <row r="24" spans="2:13" ht="12">
      <c r="B24" s="160" t="s">
        <v>204</v>
      </c>
      <c r="C24" s="210"/>
      <c r="D24" s="210"/>
      <c r="E24" s="316">
        <v>50</v>
      </c>
      <c r="F24" s="210" t="s">
        <v>377</v>
      </c>
      <c r="G24" s="210"/>
      <c r="H24" s="210"/>
      <c r="I24" s="210"/>
      <c r="J24" s="310">
        <f>D8/12*E24</f>
        <v>945.8333333333334</v>
      </c>
      <c r="K24" s="66"/>
      <c r="L24" s="648"/>
      <c r="M24" s="661"/>
    </row>
    <row r="25" spans="2:13" ht="24">
      <c r="B25" s="160" t="s">
        <v>339</v>
      </c>
      <c r="C25" s="210"/>
      <c r="D25" s="337">
        <v>2</v>
      </c>
      <c r="E25" s="397" t="s">
        <v>380</v>
      </c>
      <c r="F25" s="316">
        <v>15</v>
      </c>
      <c r="G25" s="210" t="s">
        <v>381</v>
      </c>
      <c r="H25" s="210"/>
      <c r="I25" s="210"/>
      <c r="J25" s="310">
        <f>D25*F25*D8</f>
        <v>6810</v>
      </c>
      <c r="K25" s="66"/>
      <c r="L25" s="649" t="s">
        <v>101</v>
      </c>
      <c r="M25" s="657">
        <f>Summary!I20</f>
        <v>1843.6518055034785</v>
      </c>
    </row>
    <row r="26" spans="2:13" ht="12">
      <c r="B26" s="160" t="s">
        <v>588</v>
      </c>
      <c r="C26" s="210"/>
      <c r="D26" s="801"/>
      <c r="E26" s="801"/>
      <c r="F26" s="801"/>
      <c r="G26" s="801"/>
      <c r="H26" s="801"/>
      <c r="I26" s="801"/>
      <c r="J26" s="572">
        <v>0</v>
      </c>
      <c r="K26" s="66"/>
      <c r="L26" s="649"/>
      <c r="M26" s="657"/>
    </row>
    <row r="27" spans="2:13" ht="12">
      <c r="B27" s="160" t="s">
        <v>545</v>
      </c>
      <c r="C27" s="210"/>
      <c r="D27" s="210"/>
      <c r="E27" s="210"/>
      <c r="F27" s="210"/>
      <c r="G27" s="210"/>
      <c r="H27" s="161" t="s">
        <v>545</v>
      </c>
      <c r="I27" s="210"/>
      <c r="J27" s="310">
        <f>SUM(J12:J26)</f>
        <v>25764.41024408445</v>
      </c>
      <c r="K27" s="66"/>
      <c r="L27" s="642" t="s">
        <v>180</v>
      </c>
      <c r="M27" s="657">
        <f>Summary!I22</f>
        <v>2244.5883768000003</v>
      </c>
    </row>
    <row r="28" spans="2:13" ht="12">
      <c r="B28" s="160" t="s">
        <v>518</v>
      </c>
      <c r="C28" s="210"/>
      <c r="D28" s="318">
        <v>0.02</v>
      </c>
      <c r="E28" s="350" t="s">
        <v>587</v>
      </c>
      <c r="F28" s="350"/>
      <c r="G28" s="350"/>
      <c r="H28" s="350"/>
      <c r="I28" s="350"/>
      <c r="J28" s="366">
        <f>J27*D28</f>
        <v>515.288204881689</v>
      </c>
      <c r="K28" s="66"/>
      <c r="L28" s="642"/>
      <c r="M28" s="655"/>
    </row>
    <row r="29" spans="2:13" ht="24.75" thickBot="1">
      <c r="B29" s="305"/>
      <c r="C29" s="210"/>
      <c r="D29" s="210"/>
      <c r="E29" s="311"/>
      <c r="F29" s="210"/>
      <c r="G29" s="210"/>
      <c r="H29" s="161" t="s">
        <v>545</v>
      </c>
      <c r="I29" s="210"/>
      <c r="J29" s="310">
        <f>SUM(J27:J28)</f>
        <v>26279.69844896614</v>
      </c>
      <c r="K29" s="66"/>
      <c r="L29" s="650" t="s">
        <v>99</v>
      </c>
      <c r="M29" s="662">
        <f>Summary!I24</f>
        <v>400.93657129652183</v>
      </c>
    </row>
    <row r="30" spans="2:11" ht="12">
      <c r="B30" s="305"/>
      <c r="C30" s="210"/>
      <c r="D30" s="210"/>
      <c r="E30" s="311"/>
      <c r="F30" s="210"/>
      <c r="G30" s="210"/>
      <c r="H30" s="210" t="s">
        <v>382</v>
      </c>
      <c r="I30" s="389">
        <v>0.06</v>
      </c>
      <c r="J30" s="310">
        <f>(J29/2)*I30</f>
        <v>788.3909534689842</v>
      </c>
      <c r="K30" s="66"/>
    </row>
    <row r="31" spans="2:13" s="43" customFormat="1" ht="12">
      <c r="B31" s="305"/>
      <c r="C31" s="210"/>
      <c r="D31" s="210"/>
      <c r="E31" s="311"/>
      <c r="F31" s="210"/>
      <c r="G31" s="210"/>
      <c r="H31" s="161" t="s">
        <v>31</v>
      </c>
      <c r="I31" s="390"/>
      <c r="J31" s="252">
        <f>SUM(J29:J30)</f>
        <v>27068.089402435126</v>
      </c>
      <c r="K31" s="52"/>
      <c r="L31" s="22"/>
      <c r="M31" s="22"/>
    </row>
    <row r="32" spans="2:11" ht="24.75" customHeight="1">
      <c r="B32" s="387" t="s">
        <v>515</v>
      </c>
      <c r="C32" s="210"/>
      <c r="D32" s="210"/>
      <c r="E32" s="391"/>
      <c r="F32" s="210"/>
      <c r="G32" s="210"/>
      <c r="H32" s="169"/>
      <c r="I32" s="210"/>
      <c r="J32" s="310"/>
      <c r="K32" s="66"/>
    </row>
    <row r="33" spans="2:11" ht="18" customHeight="1">
      <c r="B33" s="160" t="s">
        <v>459</v>
      </c>
      <c r="C33" s="161"/>
      <c r="D33" s="161"/>
      <c r="E33" s="392"/>
      <c r="F33" s="281"/>
      <c r="G33" s="161"/>
      <c r="H33" s="205"/>
      <c r="I33" s="281"/>
      <c r="J33" s="375"/>
      <c r="K33" s="52"/>
    </row>
    <row r="34" spans="2:11" ht="12">
      <c r="B34" s="305" t="s">
        <v>378</v>
      </c>
      <c r="C34" s="210"/>
      <c r="D34" s="316">
        <v>6300</v>
      </c>
      <c r="E34" s="311"/>
      <c r="F34" s="169" t="s">
        <v>570</v>
      </c>
      <c r="G34" s="339">
        <v>20</v>
      </c>
      <c r="H34" s="210" t="s">
        <v>217</v>
      </c>
      <c r="I34" s="210"/>
      <c r="J34" s="310">
        <f>D39/G34</f>
        <v>565</v>
      </c>
      <c r="K34" s="107"/>
    </row>
    <row r="35" spans="2:11" ht="12">
      <c r="B35" s="305" t="s">
        <v>379</v>
      </c>
      <c r="C35" s="210"/>
      <c r="D35" s="316">
        <v>5000</v>
      </c>
      <c r="E35" s="210"/>
      <c r="F35" s="169" t="s">
        <v>382</v>
      </c>
      <c r="G35" s="318">
        <v>0.1</v>
      </c>
      <c r="H35" s="210"/>
      <c r="I35" s="210"/>
      <c r="J35" s="310">
        <f>D39/2*G35</f>
        <v>565</v>
      </c>
      <c r="K35" s="107"/>
    </row>
    <row r="36" spans="2:11" ht="12">
      <c r="B36" s="802"/>
      <c r="C36" s="801"/>
      <c r="D36" s="316">
        <v>0</v>
      </c>
      <c r="E36" s="210"/>
      <c r="F36" s="229"/>
      <c r="G36" s="210"/>
      <c r="H36" s="210"/>
      <c r="I36" s="210"/>
      <c r="J36" s="310"/>
      <c r="K36" s="107"/>
    </row>
    <row r="37" spans="2:11" ht="12">
      <c r="B37" s="802"/>
      <c r="C37" s="801"/>
      <c r="D37" s="316">
        <v>0</v>
      </c>
      <c r="E37" s="210"/>
      <c r="F37" s="229"/>
      <c r="G37" s="210"/>
      <c r="H37" s="210"/>
      <c r="I37" s="210"/>
      <c r="J37" s="310"/>
      <c r="K37" s="107"/>
    </row>
    <row r="38" spans="2:11" ht="12">
      <c r="B38" s="802"/>
      <c r="C38" s="801"/>
      <c r="D38" s="316">
        <v>0</v>
      </c>
      <c r="E38" s="210"/>
      <c r="F38" s="229"/>
      <c r="G38" s="210"/>
      <c r="H38" s="210"/>
      <c r="I38" s="210"/>
      <c r="J38" s="310"/>
      <c r="K38" s="107"/>
    </row>
    <row r="39" spans="2:11" ht="12">
      <c r="B39" s="305"/>
      <c r="C39" s="210" t="s">
        <v>176</v>
      </c>
      <c r="D39" s="393">
        <f>SUM(D34:D38)</f>
        <v>11300</v>
      </c>
      <c r="E39" s="210"/>
      <c r="F39" s="210"/>
      <c r="G39" s="210"/>
      <c r="H39" s="210"/>
      <c r="I39" s="394"/>
      <c r="J39" s="211"/>
      <c r="K39" s="38"/>
    </row>
    <row r="40" spans="2:11" ht="12">
      <c r="B40" s="305"/>
      <c r="C40" s="210"/>
      <c r="D40" s="395"/>
      <c r="E40" s="169"/>
      <c r="F40" s="210"/>
      <c r="G40" s="210"/>
      <c r="H40" s="210"/>
      <c r="I40" s="161" t="s">
        <v>176</v>
      </c>
      <c r="J40" s="252">
        <f>SUM(J31:J39)</f>
        <v>28198.089402435126</v>
      </c>
      <c r="K40" s="52"/>
    </row>
    <row r="41" spans="2:11" ht="12.75" thickBot="1">
      <c r="B41" s="219"/>
      <c r="C41" s="396"/>
      <c r="D41" s="186"/>
      <c r="E41" s="186"/>
      <c r="F41" s="186"/>
      <c r="G41" s="186"/>
      <c r="H41" s="186"/>
      <c r="I41" s="314" t="s">
        <v>488</v>
      </c>
      <c r="J41" s="289">
        <f>J40/D7/D8</f>
        <v>1.4966344356687609</v>
      </c>
      <c r="K41" s="53"/>
    </row>
  </sheetData>
  <sheetProtection sheet="1" objects="1" scenarios="1" selectLockedCells="1"/>
  <mergeCells count="4">
    <mergeCell ref="D26:I26"/>
    <mergeCell ref="B36:C36"/>
    <mergeCell ref="B37:C37"/>
    <mergeCell ref="B38:C38"/>
  </mergeCells>
  <printOptions/>
  <pageMargins left="0.66" right="0.5700000000000001" top="0.8099999999999999" bottom="0.21" header="0.7000000000000001" footer="0.5"/>
  <pageSetup orientation="portrait"/>
  <drawing r:id="rId1"/>
</worksheet>
</file>

<file path=xl/worksheets/sheet5.xml><?xml version="1.0" encoding="utf-8"?>
<worksheet xmlns="http://schemas.openxmlformats.org/spreadsheetml/2006/main" xmlns:r="http://schemas.openxmlformats.org/officeDocument/2006/relationships">
  <sheetPr codeName="Sheet5"/>
  <dimension ref="B2:R53"/>
  <sheetViews>
    <sheetView defaultGridColor="0" zoomScalePageLayoutView="0" colorId="55" workbookViewId="0" topLeftCell="A1">
      <selection activeCell="G50" sqref="G50"/>
    </sheetView>
  </sheetViews>
  <sheetFormatPr defaultColWidth="9.00390625" defaultRowHeight="12.75"/>
  <cols>
    <col min="1" max="1" width="2.625" style="9" customWidth="1"/>
    <col min="2" max="3" width="9.00390625" style="5" customWidth="1"/>
    <col min="4" max="4" width="10.00390625" style="5" customWidth="1"/>
    <col min="5" max="5" width="9.00390625" style="5" customWidth="1"/>
    <col min="6" max="6" width="10.00390625" style="5" customWidth="1"/>
    <col min="7" max="7" width="10.875" style="5" customWidth="1"/>
    <col min="8" max="9" width="9.00390625" style="5" customWidth="1"/>
    <col min="10" max="10" width="9.00390625" style="19" customWidth="1"/>
    <col min="11" max="11" width="7.625" style="137" customWidth="1"/>
    <col min="12" max="12" width="35.625" style="5" customWidth="1"/>
    <col min="13" max="16384" width="9.00390625" style="9" customWidth="1"/>
  </cols>
  <sheetData>
    <row r="1" ht="15" customHeight="1"/>
    <row r="2" spans="4:18" ht="31.5" customHeight="1">
      <c r="D2" s="11"/>
      <c r="G2" s="19"/>
      <c r="H2" s="19"/>
      <c r="I2" s="41"/>
      <c r="J2" s="49"/>
      <c r="K2" s="97"/>
      <c r="L2" s="61"/>
      <c r="M2" s="5"/>
      <c r="N2" s="47"/>
      <c r="O2" s="47"/>
      <c r="P2" s="47"/>
      <c r="Q2" s="47"/>
      <c r="R2" s="47"/>
    </row>
    <row r="3" ht="15" customHeight="1"/>
    <row r="4" ht="15" customHeight="1"/>
    <row r="5" ht="15" customHeight="1"/>
    <row r="6" spans="2:13" s="42" customFormat="1" ht="15" customHeight="1" thickBot="1">
      <c r="B6" s="668" t="s">
        <v>100</v>
      </c>
      <c r="C6" s="4"/>
      <c r="D6" s="4"/>
      <c r="E6" s="4"/>
      <c r="F6" s="4"/>
      <c r="G6" s="4"/>
      <c r="H6" s="4"/>
      <c r="I6" s="4"/>
      <c r="J6" s="85"/>
      <c r="K6" s="85"/>
      <c r="L6" s="668" t="s">
        <v>173</v>
      </c>
      <c r="M6" s="666"/>
    </row>
    <row r="7" spans="2:13" s="54" customFormat="1" ht="12">
      <c r="B7" s="398"/>
      <c r="C7" s="399"/>
      <c r="D7" s="399"/>
      <c r="E7" s="400" t="s">
        <v>22</v>
      </c>
      <c r="F7" s="401" t="s">
        <v>274</v>
      </c>
      <c r="G7" s="401" t="s">
        <v>23</v>
      </c>
      <c r="H7" s="401" t="s">
        <v>24</v>
      </c>
      <c r="I7" s="588" t="s">
        <v>275</v>
      </c>
      <c r="J7" s="402"/>
      <c r="K7" s="138"/>
      <c r="L7" s="641"/>
      <c r="M7" s="652" t="str">
        <f>Summary!I2</f>
        <v>Cost/day</v>
      </c>
    </row>
    <row r="8" spans="2:13" s="43" customFormat="1" ht="12">
      <c r="B8" s="160" t="s">
        <v>460</v>
      </c>
      <c r="C8" s="161"/>
      <c r="D8" s="161"/>
      <c r="E8" s="242">
        <f>'1 Inputs'!D23</f>
        <v>83</v>
      </c>
      <c r="F8" s="242">
        <f>'1 Inputs'!H43</f>
        <v>61</v>
      </c>
      <c r="G8" s="403">
        <f>D17</f>
        <v>53.34767072916667</v>
      </c>
      <c r="H8" s="404">
        <f>'1 Inputs'!G23</f>
        <v>80.02150609375</v>
      </c>
      <c r="I8" s="405">
        <f>'1 Inputs'!I43</f>
        <v>2.25</v>
      </c>
      <c r="J8" s="406"/>
      <c r="K8" s="89"/>
      <c r="L8" s="642" t="s">
        <v>130</v>
      </c>
      <c r="M8" s="651"/>
    </row>
    <row r="9" spans="2:13" s="43" customFormat="1" ht="12">
      <c r="B9" s="407" t="s">
        <v>273</v>
      </c>
      <c r="C9" s="281"/>
      <c r="D9" s="281"/>
      <c r="E9" s="279">
        <f>'1 Inputs'!D24</f>
        <v>83</v>
      </c>
      <c r="F9" s="279">
        <f>'1 Inputs'!H44</f>
        <v>77</v>
      </c>
      <c r="G9" s="408">
        <f>D28</f>
        <v>58.567024140625</v>
      </c>
      <c r="H9" s="409">
        <f>'1 Inputs'!G24</f>
        <v>117.13404828125</v>
      </c>
      <c r="I9" s="410">
        <f>'1 Inputs'!I44</f>
        <v>2.25</v>
      </c>
      <c r="J9" s="411"/>
      <c r="K9" s="89"/>
      <c r="L9" s="643" t="s">
        <v>91</v>
      </c>
      <c r="M9" s="653">
        <f>Summary!I4</f>
        <v>1.3559155438921406</v>
      </c>
    </row>
    <row r="10" spans="2:13" ht="32.25" customHeight="1">
      <c r="B10" s="803" t="s">
        <v>25</v>
      </c>
      <c r="C10" s="804"/>
      <c r="D10" s="804"/>
      <c r="E10" s="804"/>
      <c r="F10" s="804"/>
      <c r="G10" s="804"/>
      <c r="H10" s="804"/>
      <c r="I10" s="804"/>
      <c r="J10" s="805"/>
      <c r="K10" s="139"/>
      <c r="L10" s="643" t="s">
        <v>314</v>
      </c>
      <c r="M10" s="653">
        <f>Summary!I5</f>
        <v>1.4580182043855454</v>
      </c>
    </row>
    <row r="11" spans="2:13" ht="12">
      <c r="B11" s="160"/>
      <c r="C11" s="161" t="s">
        <v>465</v>
      </c>
      <c r="D11" s="210"/>
      <c r="E11" s="210"/>
      <c r="F11" s="210"/>
      <c r="G11" s="210"/>
      <c r="H11" s="210"/>
      <c r="I11" s="210"/>
      <c r="J11" s="212"/>
      <c r="K11" s="65"/>
      <c r="L11" s="643" t="s">
        <v>56</v>
      </c>
      <c r="M11" s="654">
        <f>Summary!I6</f>
        <v>1.7061756496952287</v>
      </c>
    </row>
    <row r="12" spans="2:13" ht="12">
      <c r="B12" s="160"/>
      <c r="C12" s="210" t="s">
        <v>1</v>
      </c>
      <c r="D12" s="210"/>
      <c r="E12" s="210"/>
      <c r="F12" s="210"/>
      <c r="G12" s="210"/>
      <c r="H12" s="210"/>
      <c r="I12" s="210"/>
      <c r="J12" s="212"/>
      <c r="K12" s="65"/>
      <c r="L12" s="644" t="s">
        <v>176</v>
      </c>
      <c r="M12" s="655"/>
    </row>
    <row r="13" spans="2:13" ht="12">
      <c r="B13" s="160"/>
      <c r="C13" s="210" t="s">
        <v>61</v>
      </c>
      <c r="D13" s="210"/>
      <c r="E13" s="210"/>
      <c r="F13" s="210"/>
      <c r="G13" s="210"/>
      <c r="H13" s="210"/>
      <c r="I13" s="210"/>
      <c r="J13" s="212"/>
      <c r="K13" s="65"/>
      <c r="L13" s="643" t="s">
        <v>55</v>
      </c>
      <c r="M13" s="656">
        <f>Summary!I8</f>
        <v>1.3559155438921406</v>
      </c>
    </row>
    <row r="14" spans="2:13" ht="12">
      <c r="B14" s="160"/>
      <c r="C14" s="210" t="s">
        <v>27</v>
      </c>
      <c r="D14" s="210"/>
      <c r="E14" s="210"/>
      <c r="F14" s="210"/>
      <c r="G14" s="210"/>
      <c r="H14" s="210"/>
      <c r="I14" s="210"/>
      <c r="J14" s="212"/>
      <c r="K14" s="65"/>
      <c r="L14" s="645"/>
      <c r="M14" s="657">
        <f>Summary!I9</f>
        <v>559.2806133740416</v>
      </c>
    </row>
    <row r="15" spans="2:13" ht="12">
      <c r="B15" s="160"/>
      <c r="C15" s="161"/>
      <c r="D15" s="210"/>
      <c r="E15" s="360">
        <v>0.01</v>
      </c>
      <c r="F15" s="210" t="s">
        <v>442</v>
      </c>
      <c r="G15" s="414">
        <v>0.5</v>
      </c>
      <c r="H15" s="210" t="s">
        <v>127</v>
      </c>
      <c r="I15" s="210"/>
      <c r="J15" s="212"/>
      <c r="K15" s="65"/>
      <c r="L15" s="646" t="s">
        <v>321</v>
      </c>
      <c r="M15" s="658"/>
    </row>
    <row r="16" spans="2:13" ht="12">
      <c r="B16" s="160"/>
      <c r="C16" s="312"/>
      <c r="D16" s="412"/>
      <c r="E16" s="388"/>
      <c r="F16" s="210"/>
      <c r="G16" s="413"/>
      <c r="H16" s="210"/>
      <c r="I16" s="210"/>
      <c r="J16" s="212"/>
      <c r="K16" s="65"/>
      <c r="L16" s="647" t="s">
        <v>298</v>
      </c>
      <c r="M16" s="659"/>
    </row>
    <row r="17" spans="2:13" ht="12">
      <c r="B17" s="160"/>
      <c r="C17" s="177" t="s">
        <v>277</v>
      </c>
      <c r="D17" s="682">
        <f>H8/'1 Inputs'!E10</f>
        <v>53.34767072916667</v>
      </c>
      <c r="E17" s="210"/>
      <c r="F17" s="210"/>
      <c r="G17" s="210"/>
      <c r="H17" s="210"/>
      <c r="I17" s="210"/>
      <c r="J17" s="212"/>
      <c r="K17" s="65"/>
      <c r="L17" s="643" t="s">
        <v>96</v>
      </c>
      <c r="M17" s="653">
        <f>Summary!I12</f>
        <v>1.4966344356687609</v>
      </c>
    </row>
    <row r="18" spans="2:13" ht="12">
      <c r="B18" s="160"/>
      <c r="C18" s="177" t="s">
        <v>276</v>
      </c>
      <c r="D18" s="685">
        <f>'2 Cow Calf Phase'!J51*(F8/'2 Cow Calf Phase'!D8)</f>
        <v>33.036505799070724</v>
      </c>
      <c r="E18" s="210" t="s">
        <v>489</v>
      </c>
      <c r="F18" s="210"/>
      <c r="G18" s="210"/>
      <c r="H18" s="210"/>
      <c r="I18" s="210"/>
      <c r="J18" s="212"/>
      <c r="K18" s="65"/>
      <c r="L18" s="644" t="s">
        <v>176</v>
      </c>
      <c r="M18" s="657">
        <f>Summary!I13</f>
        <v>339.73601689680874</v>
      </c>
    </row>
    <row r="19" spans="2:13" ht="12">
      <c r="B19" s="160"/>
      <c r="C19" s="177" t="s">
        <v>278</v>
      </c>
      <c r="D19" s="313">
        <f>D18/F8</f>
        <v>0.541582062279848</v>
      </c>
      <c r="E19" s="210"/>
      <c r="F19" s="210"/>
      <c r="G19" s="210"/>
      <c r="H19" s="210"/>
      <c r="I19" s="210"/>
      <c r="J19" s="212"/>
      <c r="K19" s="65"/>
      <c r="L19" s="647" t="s">
        <v>299</v>
      </c>
      <c r="M19" s="660"/>
    </row>
    <row r="20" spans="2:13" ht="12">
      <c r="B20" s="160"/>
      <c r="C20" s="177" t="s">
        <v>441</v>
      </c>
      <c r="D20" s="708">
        <f>((('1 Inputs'!D43+'1 Inputs'!E43)/2)*(E15)*('7 Forage Production'!H84/2000)*G15)</f>
        <v>0.14481348754107823</v>
      </c>
      <c r="E20" s="210" t="s">
        <v>443</v>
      </c>
      <c r="F20" s="210"/>
      <c r="G20" s="210"/>
      <c r="H20" s="210"/>
      <c r="I20" s="210"/>
      <c r="J20" s="212"/>
      <c r="K20" s="65"/>
      <c r="L20" s="643" t="s">
        <v>182</v>
      </c>
      <c r="M20" s="653">
        <f>Summary!I15</f>
        <v>0.6863955498209262</v>
      </c>
    </row>
    <row r="21" spans="2:13" ht="12">
      <c r="B21" s="407"/>
      <c r="C21" s="278" t="s">
        <v>323</v>
      </c>
      <c r="D21" s="350"/>
      <c r="E21" s="350"/>
      <c r="F21" s="281"/>
      <c r="G21" s="350"/>
      <c r="H21" s="350"/>
      <c r="I21" s="278" t="s">
        <v>444</v>
      </c>
      <c r="J21" s="415">
        <f>SUM(D19:D20)</f>
        <v>0.6863955498209262</v>
      </c>
      <c r="K21" s="93"/>
      <c r="L21" s="643" t="s">
        <v>317</v>
      </c>
      <c r="M21" s="654">
        <f>Summary!I16</f>
        <v>1.9272538531630068</v>
      </c>
    </row>
    <row r="22" spans="2:13" s="42" customFormat="1" ht="25.5" customHeight="1">
      <c r="B22" s="803" t="s">
        <v>464</v>
      </c>
      <c r="C22" s="804"/>
      <c r="D22" s="804"/>
      <c r="E22" s="804"/>
      <c r="F22" s="804"/>
      <c r="G22" s="804"/>
      <c r="H22" s="804"/>
      <c r="I22" s="804"/>
      <c r="J22" s="416"/>
      <c r="K22" s="85"/>
      <c r="L22" s="643" t="s">
        <v>181</v>
      </c>
      <c r="M22" s="657">
        <f>Summary!I17</f>
        <v>190.268675232628</v>
      </c>
    </row>
    <row r="23" spans="2:13" s="43" customFormat="1" ht="12">
      <c r="B23" s="276"/>
      <c r="C23" s="161" t="s">
        <v>126</v>
      </c>
      <c r="D23" s="161"/>
      <c r="E23" s="161"/>
      <c r="F23" s="161"/>
      <c r="G23" s="161"/>
      <c r="H23" s="161"/>
      <c r="I23" s="161"/>
      <c r="J23" s="406"/>
      <c r="K23" s="89"/>
      <c r="L23" s="643" t="s">
        <v>288</v>
      </c>
      <c r="M23" s="657">
        <f>Summary!I18</f>
        <v>1089.2853055034784</v>
      </c>
    </row>
    <row r="24" spans="2:13" ht="12">
      <c r="B24" s="305"/>
      <c r="C24" s="169" t="s">
        <v>28</v>
      </c>
      <c r="D24" s="210"/>
      <c r="E24" s="210"/>
      <c r="F24" s="210"/>
      <c r="G24" s="210"/>
      <c r="H24" s="210"/>
      <c r="I24" s="210"/>
      <c r="J24" s="212"/>
      <c r="K24" s="65"/>
      <c r="L24" s="648"/>
      <c r="M24" s="661"/>
    </row>
    <row r="25" spans="2:13" ht="24">
      <c r="B25" s="305"/>
      <c r="C25" s="169" t="s">
        <v>29</v>
      </c>
      <c r="D25" s="210"/>
      <c r="E25" s="210"/>
      <c r="F25" s="210"/>
      <c r="G25" s="210"/>
      <c r="H25" s="210"/>
      <c r="I25" s="210"/>
      <c r="J25" s="212"/>
      <c r="K25" s="65"/>
      <c r="L25" s="649" t="s">
        <v>101</v>
      </c>
      <c r="M25" s="657">
        <f>Summary!I20</f>
        <v>1843.6518055034785</v>
      </c>
    </row>
    <row r="26" spans="2:13" ht="12">
      <c r="B26" s="305"/>
      <c r="C26" s="169" t="s">
        <v>30</v>
      </c>
      <c r="D26" s="210"/>
      <c r="E26" s="210"/>
      <c r="F26" s="210"/>
      <c r="G26" s="210"/>
      <c r="H26" s="210"/>
      <c r="I26" s="210"/>
      <c r="J26" s="212"/>
      <c r="K26" s="65"/>
      <c r="L26" s="649"/>
      <c r="M26" s="657"/>
    </row>
    <row r="27" spans="2:13" ht="12">
      <c r="B27" s="305"/>
      <c r="C27" s="210"/>
      <c r="D27" s="210"/>
      <c r="E27" s="210"/>
      <c r="F27" s="210"/>
      <c r="G27" s="210"/>
      <c r="H27" s="210"/>
      <c r="I27" s="210"/>
      <c r="J27" s="212"/>
      <c r="K27" s="65"/>
      <c r="L27" s="642" t="s">
        <v>180</v>
      </c>
      <c r="M27" s="657">
        <f>Summary!I22</f>
        <v>2244.5883768000003</v>
      </c>
    </row>
    <row r="28" spans="2:13" ht="12">
      <c r="B28" s="305"/>
      <c r="C28" s="417" t="s">
        <v>277</v>
      </c>
      <c r="D28" s="418">
        <f>H9/'1 Inputs'!E11</f>
        <v>58.567024140625</v>
      </c>
      <c r="E28" s="394"/>
      <c r="F28" s="394" t="s">
        <v>468</v>
      </c>
      <c r="G28" s="418">
        <f>E9</f>
        <v>83</v>
      </c>
      <c r="H28" s="210"/>
      <c r="I28" s="210"/>
      <c r="J28" s="212"/>
      <c r="K28" s="65"/>
      <c r="L28" s="642"/>
      <c r="M28" s="655"/>
    </row>
    <row r="29" spans="2:13" ht="24.75" thickBot="1">
      <c r="B29" s="305"/>
      <c r="C29" s="417" t="s">
        <v>467</v>
      </c>
      <c r="D29" s="255">
        <f>'1 Inputs'!H44</f>
        <v>77</v>
      </c>
      <c r="E29" s="210"/>
      <c r="F29" s="210"/>
      <c r="G29" s="210"/>
      <c r="H29" s="210"/>
      <c r="I29" s="210"/>
      <c r="J29" s="212"/>
      <c r="K29" s="65"/>
      <c r="L29" s="650" t="s">
        <v>99</v>
      </c>
      <c r="M29" s="662">
        <f>Summary!I24</f>
        <v>400.93657129652183</v>
      </c>
    </row>
    <row r="30" spans="2:11" ht="12" customHeight="1">
      <c r="B30" s="305"/>
      <c r="C30" s="419"/>
      <c r="D30" s="210"/>
      <c r="E30" s="210"/>
      <c r="F30" s="210"/>
      <c r="G30" s="210"/>
      <c r="H30" s="210"/>
      <c r="I30" s="250" t="s">
        <v>494</v>
      </c>
      <c r="J30" s="212"/>
      <c r="K30" s="65"/>
    </row>
    <row r="31" spans="2:11" ht="12">
      <c r="B31" s="305"/>
      <c r="C31" s="417" t="s">
        <v>447</v>
      </c>
      <c r="D31" s="210"/>
      <c r="E31" s="801" t="s">
        <v>26</v>
      </c>
      <c r="F31" s="801"/>
      <c r="G31" s="801"/>
      <c r="H31" s="801"/>
      <c r="I31" s="336">
        <v>20</v>
      </c>
      <c r="J31" s="212"/>
      <c r="K31" s="65"/>
    </row>
    <row r="32" spans="2:11" ht="12">
      <c r="B32" s="305"/>
      <c r="C32" s="417" t="s">
        <v>333</v>
      </c>
      <c r="D32" s="210"/>
      <c r="E32" s="801" t="s">
        <v>466</v>
      </c>
      <c r="F32" s="801"/>
      <c r="G32" s="801"/>
      <c r="H32" s="801"/>
      <c r="I32" s="336">
        <v>60</v>
      </c>
      <c r="J32" s="212"/>
      <c r="K32" s="65"/>
    </row>
    <row r="33" spans="2:11" ht="12">
      <c r="B33" s="305"/>
      <c r="C33" s="417" t="s">
        <v>507</v>
      </c>
      <c r="D33" s="210"/>
      <c r="E33" s="801" t="s">
        <v>139</v>
      </c>
      <c r="F33" s="801"/>
      <c r="G33" s="801"/>
      <c r="H33" s="801"/>
      <c r="I33" s="336">
        <v>5</v>
      </c>
      <c r="J33" s="212"/>
      <c r="K33" s="65"/>
    </row>
    <row r="34" spans="2:11" ht="12">
      <c r="B34" s="305"/>
      <c r="C34" s="417" t="s">
        <v>448</v>
      </c>
      <c r="D34" s="210"/>
      <c r="E34" s="801"/>
      <c r="F34" s="801"/>
      <c r="G34" s="801"/>
      <c r="H34" s="801"/>
      <c r="I34" s="336">
        <v>24</v>
      </c>
      <c r="J34" s="212"/>
      <c r="K34" s="65"/>
    </row>
    <row r="35" spans="2:11" ht="12">
      <c r="B35" s="305"/>
      <c r="C35" s="417" t="s">
        <v>449</v>
      </c>
      <c r="D35" s="210"/>
      <c r="E35" s="801" t="s">
        <v>140</v>
      </c>
      <c r="F35" s="801"/>
      <c r="G35" s="801"/>
      <c r="H35" s="801"/>
      <c r="I35" s="336">
        <v>14.37</v>
      </c>
      <c r="J35" s="212"/>
      <c r="K35" s="65"/>
    </row>
    <row r="36" spans="2:11" ht="12">
      <c r="B36" s="305"/>
      <c r="C36" s="417" t="s">
        <v>457</v>
      </c>
      <c r="D36" s="210"/>
      <c r="E36" s="801" t="s">
        <v>268</v>
      </c>
      <c r="F36" s="801"/>
      <c r="G36" s="801"/>
      <c r="H36" s="801"/>
      <c r="I36" s="336">
        <v>2.5</v>
      </c>
      <c r="J36" s="212"/>
      <c r="K36" s="65"/>
    </row>
    <row r="37" spans="2:11" ht="12">
      <c r="B37" s="305"/>
      <c r="C37" s="420" t="s">
        <v>441</v>
      </c>
      <c r="D37" s="360">
        <v>0.02</v>
      </c>
      <c r="E37" s="210" t="s">
        <v>442</v>
      </c>
      <c r="F37" s="414">
        <v>0.25</v>
      </c>
      <c r="G37" s="308" t="s">
        <v>127</v>
      </c>
      <c r="H37" s="229" t="s">
        <v>470</v>
      </c>
      <c r="I37" s="313">
        <f>(('1 Inputs'!D44+'1 Inputs'!E44)/2)*D37*G28*(F37*D29)*('7 Forage Production'!H84/2000)/'4 Forage Finishing Phase'!D28</f>
        <v>18.32484098865878</v>
      </c>
      <c r="J37" s="212"/>
      <c r="K37" s="65"/>
    </row>
    <row r="38" spans="2:11" ht="12">
      <c r="B38" s="305"/>
      <c r="C38" s="420" t="s">
        <v>469</v>
      </c>
      <c r="D38" s="360">
        <v>0.01</v>
      </c>
      <c r="E38" s="210" t="s">
        <v>442</v>
      </c>
      <c r="F38" s="414">
        <v>0.2</v>
      </c>
      <c r="G38" s="308" t="s">
        <v>127</v>
      </c>
      <c r="H38" s="336">
        <v>0.1</v>
      </c>
      <c r="I38" s="313">
        <f>((('1 Inputs'!D44+'1 Inputs'!E44)/2)*D38*G28*(D29*F38)*(H38))/D28</f>
        <v>24.615384615384617</v>
      </c>
      <c r="J38" s="212"/>
      <c r="K38" s="65"/>
    </row>
    <row r="39" spans="2:11" ht="12">
      <c r="B39" s="305"/>
      <c r="C39" s="420" t="s">
        <v>508</v>
      </c>
      <c r="D39" s="210" t="s">
        <v>342</v>
      </c>
      <c r="E39" s="336">
        <v>37.33</v>
      </c>
      <c r="F39" s="337">
        <v>2</v>
      </c>
      <c r="G39" s="308" t="s">
        <v>510</v>
      </c>
      <c r="H39" s="311"/>
      <c r="I39" s="313">
        <f>((E39/880)*F39*D29*G28)/D28</f>
        <v>9.258080941556504</v>
      </c>
      <c r="J39" s="212"/>
      <c r="K39" s="65"/>
    </row>
    <row r="40" spans="2:11" ht="12">
      <c r="B40" s="305"/>
      <c r="C40" s="420" t="s">
        <v>509</v>
      </c>
      <c r="D40" s="210" t="s">
        <v>342</v>
      </c>
      <c r="E40" s="336">
        <v>7</v>
      </c>
      <c r="F40" s="337">
        <v>2</v>
      </c>
      <c r="G40" s="308" t="s">
        <v>510</v>
      </c>
      <c r="H40" s="311"/>
      <c r="I40" s="313">
        <f>((E40/880)*F40*D29*G28)/D28</f>
        <v>1.7360451805758241</v>
      </c>
      <c r="J40" s="212"/>
      <c r="K40" s="65"/>
    </row>
    <row r="41" spans="2:11" ht="12">
      <c r="B41" s="305"/>
      <c r="C41" s="420" t="s">
        <v>15</v>
      </c>
      <c r="D41" s="210" t="s">
        <v>365</v>
      </c>
      <c r="E41" s="336">
        <v>18.32</v>
      </c>
      <c r="F41" s="210"/>
      <c r="G41" s="210"/>
      <c r="H41" s="311"/>
      <c r="I41" s="313">
        <f>E41*$G$28/$D$28</f>
        <v>25.96273282297886</v>
      </c>
      <c r="J41" s="212"/>
      <c r="K41" s="65"/>
    </row>
    <row r="42" spans="2:11" ht="12">
      <c r="B42" s="305"/>
      <c r="C42" s="309" t="s">
        <v>522</v>
      </c>
      <c r="D42" s="210" t="s">
        <v>512</v>
      </c>
      <c r="E42" s="336">
        <v>0</v>
      </c>
      <c r="F42" s="210"/>
      <c r="G42" s="210"/>
      <c r="H42" s="210"/>
      <c r="I42" s="313">
        <f>E42*$G$28/$D$28</f>
        <v>0</v>
      </c>
      <c r="J42" s="212"/>
      <c r="K42" s="65"/>
    </row>
    <row r="43" spans="2:11" ht="12">
      <c r="B43" s="305"/>
      <c r="C43" s="309" t="s">
        <v>523</v>
      </c>
      <c r="D43" s="210" t="s">
        <v>512</v>
      </c>
      <c r="E43" s="336">
        <v>0</v>
      </c>
      <c r="F43" s="210"/>
      <c r="G43" s="210"/>
      <c r="H43" s="210"/>
      <c r="I43" s="313">
        <f>E43*$G$28/$D$28</f>
        <v>0</v>
      </c>
      <c r="J43" s="212"/>
      <c r="K43" s="65"/>
    </row>
    <row r="44" spans="2:12" ht="12">
      <c r="B44" s="305"/>
      <c r="C44" s="309" t="s">
        <v>524</v>
      </c>
      <c r="D44" s="210" t="s">
        <v>512</v>
      </c>
      <c r="E44" s="336">
        <v>0</v>
      </c>
      <c r="F44" s="210"/>
      <c r="G44" s="210"/>
      <c r="H44" s="210"/>
      <c r="I44" s="313">
        <f>E44*$G$28/$D$28</f>
        <v>0</v>
      </c>
      <c r="J44" s="212"/>
      <c r="K44" s="65"/>
      <c r="L44" s="9"/>
    </row>
    <row r="45" spans="2:12" ht="12">
      <c r="B45" s="305"/>
      <c r="C45" s="309" t="s">
        <v>293</v>
      </c>
      <c r="D45" s="210" t="s">
        <v>395</v>
      </c>
      <c r="E45" s="336">
        <v>0</v>
      </c>
      <c r="F45" s="210"/>
      <c r="G45" s="210"/>
      <c r="H45" s="210"/>
      <c r="I45" s="313">
        <f>E45</f>
        <v>0</v>
      </c>
      <c r="J45" s="212"/>
      <c r="K45" s="65"/>
      <c r="L45" s="9"/>
    </row>
    <row r="46" spans="2:11" ht="12">
      <c r="B46" s="305"/>
      <c r="C46" s="420" t="s">
        <v>339</v>
      </c>
      <c r="D46" s="337">
        <v>1</v>
      </c>
      <c r="E46" s="311" t="s">
        <v>380</v>
      </c>
      <c r="F46" s="316">
        <v>15</v>
      </c>
      <c r="G46" s="355" t="s">
        <v>381</v>
      </c>
      <c r="H46" s="350"/>
      <c r="I46" s="421">
        <f>(D46*F46)/D28</f>
        <v>0.25611682034558514</v>
      </c>
      <c r="J46" s="212"/>
      <c r="K46" s="65"/>
    </row>
    <row r="47" spans="2:11" ht="24.75" customHeight="1">
      <c r="B47" s="305"/>
      <c r="C47" s="422" t="s">
        <v>176</v>
      </c>
      <c r="D47" s="350"/>
      <c r="E47" s="350"/>
      <c r="F47" s="350"/>
      <c r="G47" s="210"/>
      <c r="H47" s="350"/>
      <c r="I47" s="423">
        <f>SUM(I31:I46)</f>
        <v>206.02320136950019</v>
      </c>
      <c r="J47" s="212"/>
      <c r="K47" s="65"/>
    </row>
    <row r="48" spans="2:11" ht="12">
      <c r="B48" s="305"/>
      <c r="C48" s="229"/>
      <c r="D48" s="210"/>
      <c r="E48" s="210"/>
      <c r="F48" s="210" t="s">
        <v>357</v>
      </c>
      <c r="G48" s="318">
        <v>0.06</v>
      </c>
      <c r="H48" s="210"/>
      <c r="I48" s="313">
        <f>(I47*G48)/D29</f>
        <v>0.16053755950870144</v>
      </c>
      <c r="J48" s="212"/>
      <c r="K48" s="65"/>
    </row>
    <row r="49" spans="2:11" ht="12">
      <c r="B49" s="305"/>
      <c r="C49" s="177" t="s">
        <v>356</v>
      </c>
      <c r="D49" s="210"/>
      <c r="E49" s="210"/>
      <c r="F49" s="210"/>
      <c r="G49" s="389"/>
      <c r="H49" s="210"/>
      <c r="I49" s="324">
        <f>SUM(I47:I48)</f>
        <v>206.18373892900888</v>
      </c>
      <c r="J49" s="212"/>
      <c r="K49" s="65"/>
    </row>
    <row r="50" spans="2:11" ht="12">
      <c r="B50" s="305"/>
      <c r="C50" s="254" t="s">
        <v>141</v>
      </c>
      <c r="D50" s="210"/>
      <c r="E50" s="210"/>
      <c r="F50" s="210"/>
      <c r="G50" s="318">
        <v>0.02</v>
      </c>
      <c r="H50" s="210"/>
      <c r="I50" s="313">
        <f>I49*G50</f>
        <v>4.1236747785801775</v>
      </c>
      <c r="J50" s="212"/>
      <c r="K50" s="65"/>
    </row>
    <row r="51" spans="2:11" ht="17.25" customHeight="1">
      <c r="B51" s="305"/>
      <c r="C51" s="424" t="s">
        <v>176</v>
      </c>
      <c r="D51" s="394"/>
      <c r="E51" s="394"/>
      <c r="F51" s="394"/>
      <c r="G51" s="389"/>
      <c r="H51" s="394"/>
      <c r="I51" s="425">
        <f>SUM(I49:I50)</f>
        <v>210.30741370758906</v>
      </c>
      <c r="J51" s="211"/>
      <c r="K51" s="65"/>
    </row>
    <row r="52" spans="2:13" s="43" customFormat="1" ht="12">
      <c r="B52" s="160"/>
      <c r="C52" s="177"/>
      <c r="D52" s="324"/>
      <c r="E52" s="161"/>
      <c r="F52" s="161" t="s">
        <v>142</v>
      </c>
      <c r="G52" s="426"/>
      <c r="H52" s="427"/>
      <c r="I52" s="428"/>
      <c r="J52" s="429">
        <f>(I51*D28)/D29/G28</f>
        <v>1.9272538531630068</v>
      </c>
      <c r="K52" s="93"/>
      <c r="L52" s="5"/>
      <c r="M52" s="44"/>
    </row>
    <row r="53" spans="2:11" ht="12.75" thickBot="1">
      <c r="B53" s="219"/>
      <c r="C53" s="186"/>
      <c r="D53" s="186"/>
      <c r="E53" s="186"/>
      <c r="F53" s="314" t="s">
        <v>143</v>
      </c>
      <c r="G53" s="186"/>
      <c r="H53" s="186"/>
      <c r="I53" s="186"/>
      <c r="J53" s="289">
        <f>J52+J21</f>
        <v>2.613649402983933</v>
      </c>
      <c r="K53" s="93"/>
    </row>
  </sheetData>
  <sheetProtection sheet="1" objects="1" scenarios="1" selectLockedCells="1"/>
  <mergeCells count="8">
    <mergeCell ref="E34:H34"/>
    <mergeCell ref="E35:H35"/>
    <mergeCell ref="E36:H36"/>
    <mergeCell ref="B10:J10"/>
    <mergeCell ref="B22:I22"/>
    <mergeCell ref="E31:H31"/>
    <mergeCell ref="E32:H32"/>
    <mergeCell ref="E33:H33"/>
  </mergeCells>
  <printOptions/>
  <pageMargins left="0.72" right="0.6" top="0.40944881889763785" bottom="0.40944881889763785" header="0.63" footer="0.5"/>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sheetPr codeName="Sheet6"/>
  <dimension ref="B1:T66"/>
  <sheetViews>
    <sheetView defaultGridColor="0" zoomScalePageLayoutView="0" colorId="55" workbookViewId="0" topLeftCell="A1">
      <selection activeCell="D11" sqref="D11"/>
    </sheetView>
  </sheetViews>
  <sheetFormatPr defaultColWidth="9.00390625" defaultRowHeight="12.75"/>
  <cols>
    <col min="1" max="1" width="2.625" style="9" customWidth="1"/>
    <col min="2" max="2" width="18.625" style="10" customWidth="1"/>
    <col min="3" max="3" width="10.50390625" style="11" customWidth="1"/>
    <col min="4" max="5" width="9.00390625" style="11" customWidth="1"/>
    <col min="6" max="6" width="10.00390625" style="13" customWidth="1"/>
    <col min="7" max="8" width="8.00390625" style="5" customWidth="1"/>
    <col min="9" max="9" width="7.625" style="6" customWidth="1"/>
    <col min="10" max="11" width="3.625" style="6" hidden="1" customWidth="1"/>
    <col min="12" max="12" width="32.625" style="5" customWidth="1"/>
    <col min="13" max="13" width="8.00390625" style="5" customWidth="1"/>
    <col min="14" max="14" width="10.875" style="5" customWidth="1"/>
    <col min="15" max="17" width="9.00390625" style="5" customWidth="1"/>
    <col min="18" max="16384" width="9.00390625" style="9" customWidth="1"/>
  </cols>
  <sheetData>
    <row r="1" spans="2:17" s="666" customFormat="1" ht="15" customHeight="1">
      <c r="B1" s="715"/>
      <c r="C1" s="716"/>
      <c r="D1" s="716"/>
      <c r="E1" s="716"/>
      <c r="F1" s="717"/>
      <c r="G1" s="707"/>
      <c r="H1" s="707"/>
      <c r="I1" s="718"/>
      <c r="J1" s="718"/>
      <c r="K1" s="718"/>
      <c r="L1" s="707"/>
      <c r="M1" s="707"/>
      <c r="N1" s="707"/>
      <c r="O1" s="707"/>
      <c r="P1" s="707"/>
      <c r="Q1" s="707"/>
    </row>
    <row r="2" spans="2:20" ht="31.5" customHeight="1">
      <c r="B2" s="5"/>
      <c r="C2" s="5"/>
      <c r="E2" s="5"/>
      <c r="F2" s="5"/>
      <c r="G2" s="19"/>
      <c r="H2" s="19"/>
      <c r="I2" s="137"/>
      <c r="J2" s="137"/>
      <c r="K2" s="41"/>
      <c r="L2" s="68"/>
      <c r="M2" s="97"/>
      <c r="N2" s="61"/>
      <c r="P2" s="47"/>
      <c r="Q2" s="47"/>
      <c r="R2" s="47"/>
      <c r="S2" s="47"/>
      <c r="T2" s="47"/>
    </row>
    <row r="3" spans="2:17" s="666" customFormat="1" ht="15" customHeight="1">
      <c r="B3" s="715"/>
      <c r="C3" s="716"/>
      <c r="D3" s="716"/>
      <c r="E3" s="716"/>
      <c r="F3" s="717"/>
      <c r="G3" s="707"/>
      <c r="H3" s="707"/>
      <c r="I3" s="718"/>
      <c r="J3" s="718"/>
      <c r="K3" s="718"/>
      <c r="L3" s="707"/>
      <c r="M3" s="707"/>
      <c r="N3" s="707"/>
      <c r="O3" s="707"/>
      <c r="P3" s="707"/>
      <c r="Q3" s="707"/>
    </row>
    <row r="4" spans="2:17" s="666" customFormat="1" ht="15" customHeight="1">
      <c r="B4" s="715"/>
      <c r="C4" s="716"/>
      <c r="D4" s="716"/>
      <c r="E4" s="716"/>
      <c r="F4" s="717"/>
      <c r="G4" s="707"/>
      <c r="H4" s="707"/>
      <c r="I4" s="718"/>
      <c r="J4" s="718"/>
      <c r="K4" s="718"/>
      <c r="L4" s="707"/>
      <c r="M4" s="707"/>
      <c r="N4" s="707"/>
      <c r="O4" s="707"/>
      <c r="P4" s="707"/>
      <c r="Q4" s="707"/>
    </row>
    <row r="5" spans="2:17" s="666" customFormat="1" ht="15" customHeight="1">
      <c r="B5" s="715"/>
      <c r="C5" s="716"/>
      <c r="D5" s="716"/>
      <c r="E5" s="716"/>
      <c r="F5" s="717"/>
      <c r="G5" s="707"/>
      <c r="H5" s="707"/>
      <c r="I5" s="718"/>
      <c r="J5" s="718"/>
      <c r="K5" s="718"/>
      <c r="L5" s="707"/>
      <c r="M5" s="707"/>
      <c r="N5" s="707"/>
      <c r="O5" s="707"/>
      <c r="P5" s="707"/>
      <c r="Q5" s="707"/>
    </row>
    <row r="6" spans="2:17" s="666" customFormat="1" ht="15" customHeight="1" thickBot="1">
      <c r="B6" s="719" t="s">
        <v>482</v>
      </c>
      <c r="C6" s="720"/>
      <c r="D6" s="720"/>
      <c r="E6" s="720"/>
      <c r="F6" s="721"/>
      <c r="G6" s="722"/>
      <c r="H6" s="722"/>
      <c r="I6" s="722"/>
      <c r="J6" s="722"/>
      <c r="K6" s="722"/>
      <c r="L6" s="668" t="s">
        <v>173</v>
      </c>
      <c r="N6" s="707"/>
      <c r="O6" s="707"/>
      <c r="P6" s="707"/>
      <c r="Q6" s="707"/>
    </row>
    <row r="7" spans="2:13" ht="12">
      <c r="B7" s="430" t="s">
        <v>538</v>
      </c>
      <c r="C7" s="431"/>
      <c r="D7" s="432"/>
      <c r="E7" s="432"/>
      <c r="F7" s="433"/>
      <c r="G7" s="307"/>
      <c r="H7" s="434"/>
      <c r="I7" s="38"/>
      <c r="J7" s="38"/>
      <c r="K7" s="38"/>
      <c r="L7" s="641"/>
      <c r="M7" s="652" t="str">
        <f>Summary!I2</f>
        <v>Cost/day</v>
      </c>
    </row>
    <row r="8" spans="2:13" ht="12">
      <c r="B8" s="435" t="s">
        <v>539</v>
      </c>
      <c r="C8" s="723">
        <f>'1 Inputs'!E44</f>
        <v>1214.5</v>
      </c>
      <c r="D8" s="255" t="s">
        <v>540</v>
      </c>
      <c r="E8" s="255"/>
      <c r="F8" s="313"/>
      <c r="G8" s="210"/>
      <c r="H8" s="304"/>
      <c r="I8" s="38"/>
      <c r="J8" s="38"/>
      <c r="K8" s="38"/>
      <c r="L8" s="642" t="s">
        <v>130</v>
      </c>
      <c r="M8" s="651"/>
    </row>
    <row r="9" spans="2:13" ht="12">
      <c r="B9" s="435" t="s">
        <v>542</v>
      </c>
      <c r="C9" s="255"/>
      <c r="D9" s="255"/>
      <c r="E9" s="255"/>
      <c r="F9" s="312"/>
      <c r="G9" s="685">
        <f>'1 Inputs'!J46</f>
        <v>1089.2853055034784</v>
      </c>
      <c r="H9" s="304"/>
      <c r="I9" s="38"/>
      <c r="J9" s="38"/>
      <c r="K9" s="38"/>
      <c r="L9" s="643" t="s">
        <v>91</v>
      </c>
      <c r="M9" s="653">
        <f>Summary!I4</f>
        <v>1.3559155438921406</v>
      </c>
    </row>
    <row r="10" spans="2:13" ht="12">
      <c r="B10" s="435" t="s">
        <v>480</v>
      </c>
      <c r="C10" s="230"/>
      <c r="D10" s="255"/>
      <c r="E10" s="436"/>
      <c r="F10" s="421"/>
      <c r="G10" s="350"/>
      <c r="H10" s="437"/>
      <c r="I10" s="38"/>
      <c r="J10" s="38"/>
      <c r="K10" s="38"/>
      <c r="L10" s="643" t="s">
        <v>314</v>
      </c>
      <c r="M10" s="653">
        <f>Summary!I5</f>
        <v>1.4580182043855454</v>
      </c>
    </row>
    <row r="11" spans="2:13" ht="12">
      <c r="B11" s="435" t="s">
        <v>345</v>
      </c>
      <c r="C11" s="255"/>
      <c r="D11" s="360">
        <v>0.58</v>
      </c>
      <c r="E11" s="201">
        <f>C8*D11</f>
        <v>704.41</v>
      </c>
      <c r="F11" s="255" t="s">
        <v>52</v>
      </c>
      <c r="G11" s="210" t="s">
        <v>297</v>
      </c>
      <c r="H11" s="304"/>
      <c r="I11" s="38"/>
      <c r="J11" s="38"/>
      <c r="K11" s="38"/>
      <c r="L11" s="643" t="s">
        <v>56</v>
      </c>
      <c r="M11" s="654">
        <f>Summary!I6</f>
        <v>1.7061756496952287</v>
      </c>
    </row>
    <row r="12" spans="2:13" ht="12">
      <c r="B12" s="435"/>
      <c r="C12" s="230"/>
      <c r="D12" s="255"/>
      <c r="E12" s="312"/>
      <c r="F12" s="443">
        <v>1.5</v>
      </c>
      <c r="G12" s="313">
        <f>F12*E11</f>
        <v>1056.615</v>
      </c>
      <c r="H12" s="304"/>
      <c r="I12" s="38"/>
      <c r="J12" s="38"/>
      <c r="K12" s="38"/>
      <c r="L12" s="644" t="s">
        <v>176</v>
      </c>
      <c r="M12" s="655"/>
    </row>
    <row r="13" spans="2:13" ht="12">
      <c r="B13" s="435"/>
      <c r="C13" s="230"/>
      <c r="D13" s="255"/>
      <c r="E13" s="255"/>
      <c r="F13" s="313"/>
      <c r="G13" s="210"/>
      <c r="H13" s="304"/>
      <c r="I13" s="38"/>
      <c r="J13" s="38"/>
      <c r="K13" s="38"/>
      <c r="L13" s="643" t="s">
        <v>55</v>
      </c>
      <c r="M13" s="656">
        <f>Summary!I8</f>
        <v>1.3559155438921406</v>
      </c>
    </row>
    <row r="14" spans="2:13" ht="12">
      <c r="B14" s="435" t="s">
        <v>346</v>
      </c>
      <c r="C14" s="255"/>
      <c r="D14" s="360">
        <v>0.66</v>
      </c>
      <c r="E14" s="206">
        <f>E11*D14</f>
        <v>464.9106</v>
      </c>
      <c r="F14" s="421"/>
      <c r="G14" s="350"/>
      <c r="H14" s="437"/>
      <c r="I14" s="38"/>
      <c r="J14" s="38"/>
      <c r="K14" s="38"/>
      <c r="L14" s="645"/>
      <c r="M14" s="657">
        <f>Summary!I9</f>
        <v>559.2806133740416</v>
      </c>
    </row>
    <row r="15" spans="2:13" ht="12">
      <c r="B15" s="435"/>
      <c r="C15" s="255"/>
      <c r="D15" s="255"/>
      <c r="E15" s="255"/>
      <c r="F15" s="313"/>
      <c r="G15" s="210"/>
      <c r="H15" s="304"/>
      <c r="I15" s="38"/>
      <c r="J15" s="38"/>
      <c r="K15" s="38"/>
      <c r="L15" s="646" t="s">
        <v>321</v>
      </c>
      <c r="M15" s="658"/>
    </row>
    <row r="16" spans="2:13" ht="12">
      <c r="B16" s="435" t="s">
        <v>495</v>
      </c>
      <c r="C16" s="255" t="s">
        <v>526</v>
      </c>
      <c r="D16" s="255"/>
      <c r="E16" s="336">
        <v>0.21</v>
      </c>
      <c r="F16" s="313">
        <f>E16*E11</f>
        <v>147.9261</v>
      </c>
      <c r="G16" s="210" t="s">
        <v>347</v>
      </c>
      <c r="H16" s="304"/>
      <c r="I16" s="38"/>
      <c r="J16" s="38"/>
      <c r="K16" s="38"/>
      <c r="L16" s="647" t="s">
        <v>298</v>
      </c>
      <c r="M16" s="659"/>
    </row>
    <row r="17" spans="2:13" ht="12">
      <c r="B17" s="435"/>
      <c r="C17" s="255" t="s">
        <v>496</v>
      </c>
      <c r="D17" s="255"/>
      <c r="E17" s="313"/>
      <c r="F17" s="336">
        <v>25</v>
      </c>
      <c r="G17" s="210"/>
      <c r="H17" s="304"/>
      <c r="I17" s="38"/>
      <c r="J17" s="38"/>
      <c r="K17" s="38"/>
      <c r="L17" s="643" t="s">
        <v>96</v>
      </c>
      <c r="M17" s="653">
        <f>Summary!I12</f>
        <v>1.4966344356687609</v>
      </c>
    </row>
    <row r="18" spans="2:13" ht="12">
      <c r="B18" s="435"/>
      <c r="C18" s="255" t="s">
        <v>144</v>
      </c>
      <c r="D18" s="255"/>
      <c r="E18" s="336">
        <v>0.4</v>
      </c>
      <c r="F18" s="313">
        <f>E18*E11</f>
        <v>281.764</v>
      </c>
      <c r="G18" s="210" t="s">
        <v>53</v>
      </c>
      <c r="H18" s="304"/>
      <c r="I18" s="38"/>
      <c r="J18" s="38"/>
      <c r="K18" s="38"/>
      <c r="L18" s="644" t="s">
        <v>176</v>
      </c>
      <c r="M18" s="657">
        <f>Summary!I13</f>
        <v>339.73601689680874</v>
      </c>
    </row>
    <row r="19" spans="2:13" ht="15" customHeight="1">
      <c r="B19" s="435"/>
      <c r="C19" s="255" t="s">
        <v>527</v>
      </c>
      <c r="D19" s="255"/>
      <c r="E19" s="336">
        <v>0.04</v>
      </c>
      <c r="F19" s="313">
        <f>E19*E11</f>
        <v>28.1764</v>
      </c>
      <c r="G19" s="210" t="s">
        <v>347</v>
      </c>
      <c r="H19" s="304"/>
      <c r="I19" s="38"/>
      <c r="J19" s="38"/>
      <c r="K19" s="38"/>
      <c r="L19" s="647" t="s">
        <v>299</v>
      </c>
      <c r="M19" s="660"/>
    </row>
    <row r="20" spans="2:13" ht="16.5" customHeight="1">
      <c r="B20" s="435"/>
      <c r="C20" s="255"/>
      <c r="D20" s="255"/>
      <c r="E20" s="313"/>
      <c r="F20" s="313"/>
      <c r="G20" s="210"/>
      <c r="H20" s="304"/>
      <c r="I20" s="38"/>
      <c r="J20" s="38"/>
      <c r="K20" s="38"/>
      <c r="L20" s="643" t="s">
        <v>182</v>
      </c>
      <c r="M20" s="653">
        <f>Summary!I15</f>
        <v>0.6863955498209262</v>
      </c>
    </row>
    <row r="21" spans="2:13" ht="15" customHeight="1">
      <c r="B21" s="435" t="s">
        <v>145</v>
      </c>
      <c r="C21" s="255"/>
      <c r="D21" s="268"/>
      <c r="E21" s="268"/>
      <c r="F21" s="336">
        <v>270</v>
      </c>
      <c r="G21" s="350"/>
      <c r="H21" s="437"/>
      <c r="I21" s="38"/>
      <c r="J21" s="38"/>
      <c r="K21" s="38"/>
      <c r="L21" s="643" t="s">
        <v>317</v>
      </c>
      <c r="M21" s="654">
        <f>Summary!I16</f>
        <v>1.9272538531630068</v>
      </c>
    </row>
    <row r="22" spans="2:13" ht="21" customHeight="1">
      <c r="B22" s="435"/>
      <c r="C22" s="255"/>
      <c r="D22" s="255"/>
      <c r="E22" s="438" t="s">
        <v>62</v>
      </c>
      <c r="F22" s="312"/>
      <c r="G22" s="324">
        <f>SUM(F9:F21)</f>
        <v>754.3665000000001</v>
      </c>
      <c r="H22" s="304"/>
      <c r="I22" s="38"/>
      <c r="J22" s="38"/>
      <c r="K22" s="38"/>
      <c r="L22" s="643" t="s">
        <v>181</v>
      </c>
      <c r="M22" s="657">
        <f>Summary!I17</f>
        <v>190.268675232628</v>
      </c>
    </row>
    <row r="23" spans="2:13" ht="12.75" thickBot="1">
      <c r="B23" s="439"/>
      <c r="C23" s="285"/>
      <c r="D23" s="220" t="s">
        <v>541</v>
      </c>
      <c r="E23" s="185"/>
      <c r="F23" s="440"/>
      <c r="G23" s="441">
        <f>G22+G9</f>
        <v>1843.6518055034785</v>
      </c>
      <c r="H23" s="442"/>
      <c r="I23" s="38"/>
      <c r="J23" s="38"/>
      <c r="K23" s="38"/>
      <c r="L23" s="643" t="s">
        <v>288</v>
      </c>
      <c r="M23" s="657">
        <f>Summary!I18</f>
        <v>1089.2853055034784</v>
      </c>
    </row>
    <row r="24" spans="2:17" s="23" customFormat="1" ht="16.5" customHeight="1" thickBot="1">
      <c r="B24" s="81"/>
      <c r="C24" s="71"/>
      <c r="D24" s="71"/>
      <c r="E24" s="82"/>
      <c r="F24" s="53"/>
      <c r="G24" s="38"/>
      <c r="H24" s="38"/>
      <c r="I24" s="38"/>
      <c r="J24" s="38"/>
      <c r="K24" s="38"/>
      <c r="L24" s="648"/>
      <c r="M24" s="661"/>
      <c r="N24" s="6"/>
      <c r="O24" s="6"/>
      <c r="P24" s="6"/>
      <c r="Q24" s="6"/>
    </row>
    <row r="25" spans="2:13" ht="24">
      <c r="B25" s="430" t="s">
        <v>292</v>
      </c>
      <c r="C25" s="432"/>
      <c r="D25" s="432"/>
      <c r="E25" s="432"/>
      <c r="F25" s="433"/>
      <c r="G25" s="307"/>
      <c r="H25" s="434"/>
      <c r="I25" s="38"/>
      <c r="J25" s="38"/>
      <c r="K25" s="38"/>
      <c r="L25" s="649" t="s">
        <v>101</v>
      </c>
      <c r="M25" s="657">
        <f>Summary!I20</f>
        <v>1843.6518055034785</v>
      </c>
    </row>
    <row r="26" spans="2:13" ht="20.25" customHeight="1">
      <c r="B26" s="435"/>
      <c r="C26" s="255" t="s">
        <v>348</v>
      </c>
      <c r="D26" s="201" t="s">
        <v>455</v>
      </c>
      <c r="E26" s="201" t="s">
        <v>8</v>
      </c>
      <c r="F26" s="201" t="s">
        <v>256</v>
      </c>
      <c r="G26" s="210"/>
      <c r="H26" s="304"/>
      <c r="I26" s="38"/>
      <c r="J26" s="38"/>
      <c r="K26" s="38"/>
      <c r="L26" s="649"/>
      <c r="M26" s="657"/>
    </row>
    <row r="27" spans="2:13" ht="12">
      <c r="B27" s="444" t="s">
        <v>528</v>
      </c>
      <c r="C27" s="299">
        <v>0.49</v>
      </c>
      <c r="D27" s="445">
        <f>C27*$E$14</f>
        <v>227.80619399999998</v>
      </c>
      <c r="E27" s="443">
        <v>3.25</v>
      </c>
      <c r="F27" s="446">
        <f>D27*E27</f>
        <v>740.3701305</v>
      </c>
      <c r="G27" s="210"/>
      <c r="H27" s="304"/>
      <c r="I27" s="38"/>
      <c r="J27" s="38"/>
      <c r="K27" s="38"/>
      <c r="L27" s="642" t="s">
        <v>180</v>
      </c>
      <c r="M27" s="657">
        <f>Summary!I22</f>
        <v>2244.5883768000003</v>
      </c>
    </row>
    <row r="28" spans="2:13" ht="12">
      <c r="B28" s="435"/>
      <c r="C28" s="447"/>
      <c r="D28" s="230"/>
      <c r="E28" s="448"/>
      <c r="F28" s="313"/>
      <c r="G28" s="210"/>
      <c r="H28" s="304"/>
      <c r="I28" s="38"/>
      <c r="J28" s="38"/>
      <c r="K28" s="38"/>
      <c r="L28" s="642"/>
      <c r="M28" s="655"/>
    </row>
    <row r="29" spans="2:13" ht="24.75" thickBot="1">
      <c r="B29" s="435" t="s">
        <v>530</v>
      </c>
      <c r="C29" s="447"/>
      <c r="D29" s="236"/>
      <c r="E29" s="448"/>
      <c r="F29" s="421"/>
      <c r="G29" s="210"/>
      <c r="H29" s="304"/>
      <c r="I29" s="38"/>
      <c r="J29" s="38"/>
      <c r="K29" s="38"/>
      <c r="L29" s="650" t="s">
        <v>99</v>
      </c>
      <c r="M29" s="662">
        <f>Summary!I24</f>
        <v>400.93657129652183</v>
      </c>
    </row>
    <row r="30" spans="2:13" ht="12">
      <c r="B30" s="449" t="s">
        <v>531</v>
      </c>
      <c r="C30" s="299">
        <v>0.06</v>
      </c>
      <c r="D30" s="230">
        <f aca="true" t="shared" si="0" ref="D30:D42">C30*$E$14</f>
        <v>27.894636</v>
      </c>
      <c r="E30" s="443">
        <v>6</v>
      </c>
      <c r="F30" s="313">
        <f>D30*E30</f>
        <v>167.367816</v>
      </c>
      <c r="G30" s="210"/>
      <c r="H30" s="304"/>
      <c r="I30" s="38"/>
      <c r="J30" s="38"/>
      <c r="K30" s="38"/>
      <c r="M30" s="9"/>
    </row>
    <row r="31" spans="2:11" ht="12">
      <c r="B31" s="449" t="s">
        <v>63</v>
      </c>
      <c r="C31" s="299">
        <v>0.06</v>
      </c>
      <c r="D31" s="230">
        <f t="shared" si="0"/>
        <v>27.894636</v>
      </c>
      <c r="E31" s="443">
        <v>6.6</v>
      </c>
      <c r="F31" s="313">
        <f>D31*E31</f>
        <v>184.10459759999998</v>
      </c>
      <c r="G31" s="210"/>
      <c r="H31" s="304"/>
      <c r="I31" s="38"/>
      <c r="J31" s="38"/>
      <c r="K31" s="38"/>
    </row>
    <row r="32" spans="2:11" ht="12">
      <c r="B32" s="449" t="s">
        <v>64</v>
      </c>
      <c r="C32" s="299">
        <v>0.07</v>
      </c>
      <c r="D32" s="230">
        <f t="shared" si="0"/>
        <v>32.543742</v>
      </c>
      <c r="E32" s="443">
        <v>5</v>
      </c>
      <c r="F32" s="313">
        <f>D32*E32</f>
        <v>162.71871000000002</v>
      </c>
      <c r="G32" s="210"/>
      <c r="H32" s="304"/>
      <c r="I32" s="38"/>
      <c r="J32" s="38"/>
      <c r="K32" s="38"/>
    </row>
    <row r="33" spans="2:11" ht="18" customHeight="1">
      <c r="B33" s="435" t="s">
        <v>532</v>
      </c>
      <c r="C33" s="447"/>
      <c r="D33" s="236"/>
      <c r="E33" s="448"/>
      <c r="F33" s="421"/>
      <c r="G33" s="210"/>
      <c r="H33" s="304"/>
      <c r="I33" s="38"/>
      <c r="J33" s="38"/>
      <c r="K33" s="38"/>
    </row>
    <row r="34" spans="2:11" ht="12">
      <c r="B34" s="449" t="s">
        <v>475</v>
      </c>
      <c r="C34" s="299">
        <v>0.04</v>
      </c>
      <c r="D34" s="230">
        <f t="shared" si="0"/>
        <v>18.596424</v>
      </c>
      <c r="E34" s="443">
        <v>7.2</v>
      </c>
      <c r="F34" s="313">
        <f aca="true" t="shared" si="1" ref="F34:F39">D34*E34</f>
        <v>133.8942528</v>
      </c>
      <c r="G34" s="210"/>
      <c r="H34" s="304"/>
      <c r="I34" s="38"/>
      <c r="J34" s="38"/>
      <c r="K34" s="38"/>
    </row>
    <row r="35" spans="2:11" ht="12">
      <c r="B35" s="449" t="s">
        <v>476</v>
      </c>
      <c r="C35" s="299">
        <v>0.035</v>
      </c>
      <c r="D35" s="230">
        <f t="shared" si="0"/>
        <v>16.271871</v>
      </c>
      <c r="E35" s="443">
        <v>9.3</v>
      </c>
      <c r="F35" s="313">
        <f t="shared" si="1"/>
        <v>151.32840030000003</v>
      </c>
      <c r="G35" s="210"/>
      <c r="H35" s="304"/>
      <c r="I35" s="38"/>
      <c r="J35" s="38"/>
      <c r="K35" s="38"/>
    </row>
    <row r="36" spans="2:11" ht="12">
      <c r="B36" s="449" t="s">
        <v>534</v>
      </c>
      <c r="C36" s="299">
        <v>0.035</v>
      </c>
      <c r="D36" s="230">
        <f t="shared" si="0"/>
        <v>16.271871</v>
      </c>
      <c r="E36" s="443">
        <v>6.1</v>
      </c>
      <c r="F36" s="313">
        <f t="shared" si="1"/>
        <v>99.2584131</v>
      </c>
      <c r="G36" s="210"/>
      <c r="H36" s="304"/>
      <c r="I36" s="38"/>
      <c r="J36" s="38"/>
      <c r="K36" s="38"/>
    </row>
    <row r="37" spans="2:11" ht="12">
      <c r="B37" s="449" t="s">
        <v>7</v>
      </c>
      <c r="C37" s="299">
        <v>0.025</v>
      </c>
      <c r="D37" s="230">
        <f t="shared" si="0"/>
        <v>11.622765000000001</v>
      </c>
      <c r="E37" s="443">
        <v>10</v>
      </c>
      <c r="F37" s="313">
        <f t="shared" si="1"/>
        <v>116.22765000000001</v>
      </c>
      <c r="G37" s="210"/>
      <c r="H37" s="304"/>
      <c r="I37" s="38"/>
      <c r="J37" s="38"/>
      <c r="K37" s="38"/>
    </row>
    <row r="38" spans="2:11" ht="12">
      <c r="B38" s="449" t="s">
        <v>535</v>
      </c>
      <c r="C38" s="299">
        <v>0.05</v>
      </c>
      <c r="D38" s="230">
        <f t="shared" si="0"/>
        <v>23.245530000000002</v>
      </c>
      <c r="E38" s="443">
        <v>11.21</v>
      </c>
      <c r="F38" s="313">
        <f t="shared" si="1"/>
        <v>260.58239130000004</v>
      </c>
      <c r="G38" s="210"/>
      <c r="H38" s="304"/>
      <c r="I38" s="38"/>
      <c r="J38" s="38"/>
      <c r="K38" s="38"/>
    </row>
    <row r="39" spans="2:11" ht="12">
      <c r="B39" s="449" t="s">
        <v>536</v>
      </c>
      <c r="C39" s="299">
        <v>0.015</v>
      </c>
      <c r="D39" s="230">
        <f t="shared" si="0"/>
        <v>6.973659</v>
      </c>
      <c r="E39" s="443">
        <v>12</v>
      </c>
      <c r="F39" s="313">
        <f t="shared" si="1"/>
        <v>83.683908</v>
      </c>
      <c r="G39" s="210"/>
      <c r="H39" s="304"/>
      <c r="I39" s="38"/>
      <c r="J39" s="38"/>
      <c r="K39" s="38"/>
    </row>
    <row r="40" spans="2:11" ht="18.75" customHeight="1">
      <c r="B40" s="435" t="s">
        <v>195</v>
      </c>
      <c r="C40" s="447"/>
      <c r="D40" s="236"/>
      <c r="E40" s="450"/>
      <c r="F40" s="421"/>
      <c r="G40" s="210"/>
      <c r="H40" s="304"/>
      <c r="I40" s="38"/>
      <c r="J40" s="38"/>
      <c r="K40" s="38"/>
    </row>
    <row r="41" spans="2:11" ht="12">
      <c r="B41" s="449" t="s">
        <v>537</v>
      </c>
      <c r="C41" s="299">
        <v>0.04</v>
      </c>
      <c r="D41" s="230">
        <f t="shared" si="0"/>
        <v>18.596424</v>
      </c>
      <c r="E41" s="342"/>
      <c r="F41" s="313"/>
      <c r="G41" s="210"/>
      <c r="H41" s="304"/>
      <c r="I41" s="38"/>
      <c r="J41" s="38"/>
      <c r="K41" s="38"/>
    </row>
    <row r="42" spans="2:11" ht="12">
      <c r="B42" s="449" t="s">
        <v>529</v>
      </c>
      <c r="C42" s="299">
        <v>0.08</v>
      </c>
      <c r="D42" s="230">
        <f t="shared" si="0"/>
        <v>37.192848</v>
      </c>
      <c r="E42" s="443">
        <v>3.9</v>
      </c>
      <c r="F42" s="313">
        <f>D42*E42</f>
        <v>145.0521072</v>
      </c>
      <c r="G42" s="210"/>
      <c r="H42" s="304"/>
      <c r="I42" s="38"/>
      <c r="J42" s="38"/>
      <c r="K42" s="38"/>
    </row>
    <row r="43" spans="2:11" ht="12">
      <c r="B43" s="451" t="s">
        <v>176</v>
      </c>
      <c r="C43" s="452">
        <f>SUM(C27:C42)</f>
        <v>1.0000000000000004</v>
      </c>
      <c r="D43" s="230"/>
      <c r="E43" s="342"/>
      <c r="F43" s="313"/>
      <c r="G43" s="210"/>
      <c r="H43" s="304"/>
      <c r="I43" s="38"/>
      <c r="J43" s="38"/>
      <c r="K43" s="38"/>
    </row>
    <row r="44" spans="2:11" ht="33" customHeight="1">
      <c r="B44" s="435"/>
      <c r="C44" s="438" t="s">
        <v>369</v>
      </c>
      <c r="D44" s="206">
        <f>SUM(D27:D42)</f>
        <v>464.91059999999993</v>
      </c>
      <c r="E44" s="351"/>
      <c r="F44" s="421"/>
      <c r="G44" s="350"/>
      <c r="H44" s="437"/>
      <c r="I44" s="38"/>
      <c r="J44" s="38"/>
      <c r="K44" s="38"/>
    </row>
    <row r="45" spans="2:11" ht="12">
      <c r="B45" s="435"/>
      <c r="C45" s="255"/>
      <c r="D45" s="240"/>
      <c r="E45" s="438" t="s">
        <v>54</v>
      </c>
      <c r="F45" s="313"/>
      <c r="G45" s="324">
        <f>SUM(F27:F42)</f>
        <v>2244.5883768000003</v>
      </c>
      <c r="H45" s="304"/>
      <c r="I45" s="38"/>
      <c r="J45" s="38"/>
      <c r="K45" s="38"/>
    </row>
    <row r="46" spans="2:11" ht="12">
      <c r="B46" s="435"/>
      <c r="C46" s="255"/>
      <c r="D46" s="255"/>
      <c r="E46" s="255"/>
      <c r="F46" s="313"/>
      <c r="G46" s="210"/>
      <c r="H46" s="304"/>
      <c r="I46" s="38"/>
      <c r="J46" s="38"/>
      <c r="K46" s="38"/>
    </row>
    <row r="47" spans="2:11" ht="12.75" thickBot="1">
      <c r="B47" s="439"/>
      <c r="C47" s="285"/>
      <c r="D47" s="220" t="s">
        <v>0</v>
      </c>
      <c r="E47" s="216"/>
      <c r="F47" s="441"/>
      <c r="G47" s="441">
        <f>G45-G23</f>
        <v>400.93657129652183</v>
      </c>
      <c r="H47" s="442"/>
      <c r="I47" s="38"/>
      <c r="J47" s="38"/>
      <c r="K47" s="38"/>
    </row>
    <row r="50" spans="4:5" ht="12">
      <c r="D50" s="12"/>
      <c r="E50" s="13"/>
    </row>
    <row r="51" spans="3:5" ht="12">
      <c r="C51" s="14"/>
      <c r="D51" s="12"/>
      <c r="E51" s="13"/>
    </row>
    <row r="64" spans="7:14" ht="12">
      <c r="G64" s="15"/>
      <c r="H64" s="15"/>
      <c r="I64" s="38"/>
      <c r="J64" s="38"/>
      <c r="K64" s="38"/>
      <c r="L64" s="15"/>
      <c r="M64" s="15"/>
      <c r="N64" s="16"/>
    </row>
    <row r="66" spans="2:17" s="18" customFormat="1" ht="12">
      <c r="B66" s="17"/>
      <c r="I66" s="108"/>
      <c r="J66" s="108"/>
      <c r="K66" s="108"/>
      <c r="M66" s="19"/>
      <c r="N66" s="19"/>
      <c r="O66" s="19"/>
      <c r="P66" s="19"/>
      <c r="Q66" s="19"/>
    </row>
  </sheetData>
  <sheetProtection sheet="1" objects="1" scenarios="1" selectLockedCells="1"/>
  <printOptions/>
  <pageMargins left="0.75" right="0.75" top="0.67" bottom="0.69" header="0.5" footer="0.5"/>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codeName="Sheet7"/>
  <dimension ref="B2:T89"/>
  <sheetViews>
    <sheetView defaultGridColor="0" zoomScalePageLayoutView="0" colorId="55" workbookViewId="0" topLeftCell="A1">
      <selection activeCell="C10" sqref="C10:D10"/>
    </sheetView>
  </sheetViews>
  <sheetFormatPr defaultColWidth="9.00390625" defaultRowHeight="12.75"/>
  <cols>
    <col min="1" max="1" width="2.375" style="9" customWidth="1"/>
    <col min="2" max="2" width="5.625" style="11" customWidth="1"/>
    <col min="3" max="3" width="13.375" style="5" customWidth="1"/>
    <col min="4" max="4" width="9.625" style="5" customWidth="1"/>
    <col min="5" max="5" width="9.00390625" style="5" customWidth="1"/>
    <col min="6" max="6" width="10.375" style="5" customWidth="1"/>
    <col min="7" max="7" width="6.625" style="5" customWidth="1"/>
    <col min="8" max="8" width="9.00390625" style="5" customWidth="1"/>
    <col min="9" max="9" width="9.125" style="5" customWidth="1"/>
    <col min="10" max="10" width="9.625" style="5" customWidth="1"/>
    <col min="11" max="11" width="7.625" style="6" customWidth="1"/>
    <col min="12" max="12" width="35.625" style="9" customWidth="1"/>
    <col min="13" max="13" width="18.50390625" style="9" customWidth="1"/>
    <col min="14" max="14" width="9.625" style="20" customWidth="1"/>
    <col min="15" max="15" width="7.50390625" style="21" customWidth="1"/>
    <col min="16" max="16384" width="9.00390625" style="9" customWidth="1"/>
  </cols>
  <sheetData>
    <row r="1" ht="15" customHeight="1"/>
    <row r="2" spans="2:20" ht="31.5" customHeight="1">
      <c r="B2" s="5"/>
      <c r="D2" s="11"/>
      <c r="G2" s="19"/>
      <c r="H2" s="19"/>
      <c r="I2" s="137"/>
      <c r="J2" s="137"/>
      <c r="K2" s="41"/>
      <c r="L2" s="68"/>
      <c r="M2" s="97"/>
      <c r="N2" s="61"/>
      <c r="O2" s="5"/>
      <c r="P2" s="47"/>
      <c r="Q2" s="47"/>
      <c r="R2" s="47"/>
      <c r="S2" s="47"/>
      <c r="T2" s="47"/>
    </row>
    <row r="3" ht="15" customHeight="1"/>
    <row r="4" ht="15" customHeight="1"/>
    <row r="5" spans="2:10" ht="15" customHeight="1">
      <c r="B5" s="806"/>
      <c r="C5" s="807"/>
      <c r="D5" s="807"/>
      <c r="E5" s="807"/>
      <c r="F5" s="807"/>
      <c r="G5" s="807"/>
      <c r="H5" s="807"/>
      <c r="I5" s="807"/>
      <c r="J5" s="807"/>
    </row>
    <row r="6" spans="2:15" s="666" customFormat="1" ht="15" customHeight="1" thickBot="1">
      <c r="B6" s="724" t="s">
        <v>483</v>
      </c>
      <c r="C6" s="707"/>
      <c r="D6" s="707"/>
      <c r="E6" s="707"/>
      <c r="F6" s="707"/>
      <c r="G6" s="707"/>
      <c r="H6" s="707"/>
      <c r="I6" s="707"/>
      <c r="J6" s="707"/>
      <c r="K6" s="718"/>
      <c r="L6" s="668" t="s">
        <v>173</v>
      </c>
      <c r="N6" s="725"/>
      <c r="O6" s="726"/>
    </row>
    <row r="7" spans="2:13" ht="12">
      <c r="B7" s="470"/>
      <c r="C7" s="307"/>
      <c r="D7" s="307"/>
      <c r="E7" s="307"/>
      <c r="F7" s="583" t="s">
        <v>270</v>
      </c>
      <c r="G7" s="584">
        <f>'1 Inputs'!D10+'1 Inputs'!D12</f>
        <v>490</v>
      </c>
      <c r="H7" s="307"/>
      <c r="I7" s="307"/>
      <c r="J7" s="434"/>
      <c r="L7" s="641"/>
      <c r="M7" s="652" t="str">
        <f>Summary!I2</f>
        <v>Cost/day</v>
      </c>
    </row>
    <row r="8" spans="2:13" ht="12.75" thickBot="1">
      <c r="B8" s="490"/>
      <c r="C8" s="186"/>
      <c r="D8" s="186"/>
      <c r="E8" s="186"/>
      <c r="F8" s="186"/>
      <c r="G8" s="186" t="s">
        <v>439</v>
      </c>
      <c r="H8" s="186"/>
      <c r="I8" s="186"/>
      <c r="J8" s="442"/>
      <c r="L8" s="642" t="s">
        <v>130</v>
      </c>
      <c r="M8" s="651"/>
    </row>
    <row r="9" spans="2:13" ht="24" customHeight="1">
      <c r="B9" s="485" t="s">
        <v>9</v>
      </c>
      <c r="C9" s="210"/>
      <c r="D9" s="210"/>
      <c r="E9" s="460" t="s">
        <v>175</v>
      </c>
      <c r="F9" s="461" t="s">
        <v>10</v>
      </c>
      <c r="G9" s="461" t="s">
        <v>440</v>
      </c>
      <c r="H9" s="250" t="s">
        <v>177</v>
      </c>
      <c r="I9" s="281" t="s">
        <v>514</v>
      </c>
      <c r="J9" s="411" t="s">
        <v>307</v>
      </c>
      <c r="K9" s="89"/>
      <c r="L9" s="643" t="s">
        <v>91</v>
      </c>
      <c r="M9" s="653">
        <f>Summary!I4</f>
        <v>1.3559155438921406</v>
      </c>
    </row>
    <row r="10" spans="2:13" ht="12">
      <c r="B10" s="475"/>
      <c r="C10" s="808" t="s">
        <v>107</v>
      </c>
      <c r="D10" s="809"/>
      <c r="E10" s="469">
        <v>1</v>
      </c>
      <c r="F10" s="462">
        <f aca="true" t="shared" si="0" ref="F10:F17">$G$7*E10</f>
        <v>490</v>
      </c>
      <c r="G10" s="462">
        <f>E10*E70</f>
        <v>4.591368227731864</v>
      </c>
      <c r="H10" s="443">
        <v>2.7</v>
      </c>
      <c r="I10" s="342">
        <f aca="true" t="shared" si="1" ref="I10:I17">J10/$G$7</f>
        <v>2.7</v>
      </c>
      <c r="J10" s="310">
        <f>(H10*F10)</f>
        <v>1323</v>
      </c>
      <c r="K10" s="66"/>
      <c r="L10" s="643" t="s">
        <v>314</v>
      </c>
      <c r="M10" s="653">
        <f>Summary!I5</f>
        <v>1.4580182043855454</v>
      </c>
    </row>
    <row r="11" spans="2:13" ht="12">
      <c r="B11" s="585"/>
      <c r="C11" s="808" t="s">
        <v>111</v>
      </c>
      <c r="D11" s="809"/>
      <c r="E11" s="469">
        <v>1</v>
      </c>
      <c r="F11" s="462">
        <f t="shared" si="0"/>
        <v>490</v>
      </c>
      <c r="G11" s="462">
        <f>E11*E75</f>
        <v>8.608815426997245</v>
      </c>
      <c r="H11" s="443">
        <v>5.5</v>
      </c>
      <c r="I11" s="342">
        <f t="shared" si="1"/>
        <v>5.5</v>
      </c>
      <c r="J11" s="310">
        <f aca="true" t="shared" si="2" ref="J11:J17">(H11*F11)</f>
        <v>2695</v>
      </c>
      <c r="K11" s="66"/>
      <c r="L11" s="643" t="s">
        <v>56</v>
      </c>
      <c r="M11" s="654">
        <f>Summary!I6</f>
        <v>1.7061756496952287</v>
      </c>
    </row>
    <row r="12" spans="2:13" ht="12">
      <c r="B12" s="475"/>
      <c r="C12" s="808" t="s">
        <v>134</v>
      </c>
      <c r="D12" s="809"/>
      <c r="E12" s="469">
        <v>0</v>
      </c>
      <c r="F12" s="462">
        <f t="shared" si="0"/>
        <v>0</v>
      </c>
      <c r="G12" s="462">
        <f>E12*E88</f>
        <v>0</v>
      </c>
      <c r="H12" s="443">
        <v>1.29</v>
      </c>
      <c r="I12" s="342">
        <f t="shared" si="1"/>
        <v>0</v>
      </c>
      <c r="J12" s="310">
        <f t="shared" si="2"/>
        <v>0</v>
      </c>
      <c r="K12" s="66"/>
      <c r="L12" s="644" t="s">
        <v>176</v>
      </c>
      <c r="M12" s="655"/>
    </row>
    <row r="13" spans="2:13" ht="12">
      <c r="B13" s="475"/>
      <c r="C13" s="808" t="s">
        <v>138</v>
      </c>
      <c r="D13" s="809"/>
      <c r="E13" s="469">
        <v>5</v>
      </c>
      <c r="F13" s="462">
        <f t="shared" si="0"/>
        <v>2450</v>
      </c>
      <c r="G13" s="462">
        <f>E13*E76</f>
        <v>9.182736455463727</v>
      </c>
      <c r="H13" s="443">
        <v>3.79</v>
      </c>
      <c r="I13" s="342">
        <f t="shared" si="1"/>
        <v>18.95</v>
      </c>
      <c r="J13" s="310">
        <f t="shared" si="2"/>
        <v>9285.5</v>
      </c>
      <c r="K13" s="66"/>
      <c r="L13" s="643" t="s">
        <v>55</v>
      </c>
      <c r="M13" s="656">
        <f>Summary!I8</f>
        <v>1.3559155438921406</v>
      </c>
    </row>
    <row r="14" spans="2:13" ht="12">
      <c r="B14" s="475"/>
      <c r="C14" s="808" t="s">
        <v>306</v>
      </c>
      <c r="D14" s="809"/>
      <c r="E14" s="469">
        <v>3</v>
      </c>
      <c r="F14" s="462">
        <f t="shared" si="0"/>
        <v>1470</v>
      </c>
      <c r="G14" s="462">
        <f>E14*E83</f>
        <v>15.633608815427</v>
      </c>
      <c r="H14" s="443">
        <v>2.89</v>
      </c>
      <c r="I14" s="342">
        <f t="shared" si="1"/>
        <v>8.67</v>
      </c>
      <c r="J14" s="310">
        <f t="shared" si="2"/>
        <v>4248.3</v>
      </c>
      <c r="K14" s="66"/>
      <c r="L14" s="645"/>
      <c r="M14" s="657">
        <f>Summary!I9</f>
        <v>559.2806133740416</v>
      </c>
    </row>
    <row r="15" spans="2:13" ht="12">
      <c r="B15" s="475"/>
      <c r="C15" s="808" t="s">
        <v>310</v>
      </c>
      <c r="D15" s="809"/>
      <c r="E15" s="469">
        <v>0</v>
      </c>
      <c r="F15" s="462">
        <f t="shared" si="0"/>
        <v>0</v>
      </c>
      <c r="G15" s="462">
        <f>E15*E84</f>
        <v>0</v>
      </c>
      <c r="H15" s="443">
        <v>1.69</v>
      </c>
      <c r="I15" s="342">
        <f t="shared" si="1"/>
        <v>0</v>
      </c>
      <c r="J15" s="310">
        <f t="shared" si="2"/>
        <v>0</v>
      </c>
      <c r="K15" s="66"/>
      <c r="L15" s="646" t="s">
        <v>321</v>
      </c>
      <c r="M15" s="658"/>
    </row>
    <row r="16" spans="2:13" ht="12">
      <c r="B16" s="475"/>
      <c r="C16" s="808" t="s">
        <v>39</v>
      </c>
      <c r="D16" s="809"/>
      <c r="E16" s="469">
        <v>0</v>
      </c>
      <c r="F16" s="462">
        <f t="shared" si="0"/>
        <v>0</v>
      </c>
      <c r="G16" s="462">
        <f>E16*E89</f>
        <v>0</v>
      </c>
      <c r="H16" s="443">
        <v>4.39</v>
      </c>
      <c r="I16" s="342">
        <f t="shared" si="1"/>
        <v>0</v>
      </c>
      <c r="J16" s="310">
        <f t="shared" si="2"/>
        <v>0</v>
      </c>
      <c r="K16" s="66"/>
      <c r="L16" s="647" t="s">
        <v>298</v>
      </c>
      <c r="M16" s="659"/>
    </row>
    <row r="17" spans="2:13" ht="12">
      <c r="B17" s="475"/>
      <c r="C17" s="808" t="s">
        <v>40</v>
      </c>
      <c r="D17" s="809"/>
      <c r="E17" s="469">
        <v>0</v>
      </c>
      <c r="F17" s="463">
        <f t="shared" si="0"/>
        <v>0</v>
      </c>
      <c r="G17" s="464">
        <f>E17*E87</f>
        <v>0</v>
      </c>
      <c r="H17" s="443">
        <v>3.98</v>
      </c>
      <c r="I17" s="351">
        <f t="shared" si="1"/>
        <v>0</v>
      </c>
      <c r="J17" s="366">
        <f t="shared" si="2"/>
        <v>0</v>
      </c>
      <c r="K17" s="66"/>
      <c r="L17" s="643" t="s">
        <v>96</v>
      </c>
      <c r="M17" s="653">
        <f>Summary!I12</f>
        <v>1.4966344356687609</v>
      </c>
    </row>
    <row r="18" spans="2:13" ht="12">
      <c r="B18" s="585"/>
      <c r="C18" s="254" t="s">
        <v>307</v>
      </c>
      <c r="D18" s="161"/>
      <c r="E18" s="465">
        <f aca="true" t="shared" si="3" ref="E18:J18">SUM(E10:E17)</f>
        <v>10</v>
      </c>
      <c r="F18" s="466">
        <f t="shared" si="3"/>
        <v>4900</v>
      </c>
      <c r="G18" s="467">
        <f t="shared" si="3"/>
        <v>38.01652892561984</v>
      </c>
      <c r="H18" s="468">
        <f t="shared" si="3"/>
        <v>26.23</v>
      </c>
      <c r="I18" s="460">
        <f t="shared" si="3"/>
        <v>35.82</v>
      </c>
      <c r="J18" s="586">
        <f t="shared" si="3"/>
        <v>17551.8</v>
      </c>
      <c r="K18" s="109"/>
      <c r="L18" s="644" t="s">
        <v>176</v>
      </c>
      <c r="M18" s="657">
        <f>Summary!I13</f>
        <v>339.73601689680874</v>
      </c>
    </row>
    <row r="19" spans="2:13" ht="20.25" customHeight="1" thickBot="1">
      <c r="B19" s="587" t="s">
        <v>269</v>
      </c>
      <c r="C19" s="186"/>
      <c r="D19" s="186"/>
      <c r="E19" s="186"/>
      <c r="F19" s="186"/>
      <c r="G19" s="186"/>
      <c r="H19" s="186"/>
      <c r="I19" s="186"/>
      <c r="J19" s="442"/>
      <c r="K19" s="38"/>
      <c r="L19" s="647" t="s">
        <v>299</v>
      </c>
      <c r="M19" s="660"/>
    </row>
    <row r="20" spans="2:13" ht="24.75" customHeight="1" thickBot="1">
      <c r="B20" s="68"/>
      <c r="C20" s="6"/>
      <c r="D20" s="6"/>
      <c r="E20" s="6"/>
      <c r="F20" s="6"/>
      <c r="G20" s="6"/>
      <c r="H20" s="6"/>
      <c r="I20" s="6"/>
      <c r="J20" s="6"/>
      <c r="L20" s="643" t="s">
        <v>182</v>
      </c>
      <c r="M20" s="653">
        <f>Summary!I15</f>
        <v>0.6863955498209262</v>
      </c>
    </row>
    <row r="21" spans="2:13" ht="25.5" customHeight="1">
      <c r="B21" s="470" t="s">
        <v>11</v>
      </c>
      <c r="C21" s="307"/>
      <c r="D21" s="307"/>
      <c r="E21" s="471" t="s">
        <v>271</v>
      </c>
      <c r="F21" s="472" t="s">
        <v>176</v>
      </c>
      <c r="G21" s="472"/>
      <c r="H21" s="223" t="s">
        <v>179</v>
      </c>
      <c r="I21" s="473" t="s">
        <v>514</v>
      </c>
      <c r="J21" s="474" t="s">
        <v>307</v>
      </c>
      <c r="K21" s="89"/>
      <c r="L21" s="643" t="s">
        <v>317</v>
      </c>
      <c r="M21" s="654">
        <f>Summary!I16</f>
        <v>1.9272538531630068</v>
      </c>
    </row>
    <row r="22" spans="2:13" ht="12">
      <c r="B22" s="475"/>
      <c r="C22" s="801" t="s">
        <v>281</v>
      </c>
      <c r="D22" s="801"/>
      <c r="E22" s="469">
        <v>40</v>
      </c>
      <c r="F22" s="462">
        <f aca="true" t="shared" si="4" ref="F22:F27">$G$7*E22</f>
        <v>19600</v>
      </c>
      <c r="G22" s="462"/>
      <c r="H22" s="480">
        <v>0.11</v>
      </c>
      <c r="I22" s="164"/>
      <c r="J22" s="310">
        <f aca="true" t="shared" si="5" ref="J22:J27">H22*F22</f>
        <v>2156</v>
      </c>
      <c r="K22" s="107"/>
      <c r="L22" s="643" t="s">
        <v>181</v>
      </c>
      <c r="M22" s="657">
        <f>Summary!I17</f>
        <v>190.268675232628</v>
      </c>
    </row>
    <row r="23" spans="2:13" ht="12">
      <c r="B23" s="475"/>
      <c r="C23" s="801" t="s">
        <v>12</v>
      </c>
      <c r="D23" s="801"/>
      <c r="E23" s="469">
        <v>6</v>
      </c>
      <c r="F23" s="462">
        <f t="shared" si="4"/>
        <v>2940</v>
      </c>
      <c r="G23" s="462"/>
      <c r="H23" s="480">
        <v>1.36</v>
      </c>
      <c r="I23" s="164"/>
      <c r="J23" s="310">
        <f t="shared" si="5"/>
        <v>3998.4</v>
      </c>
      <c r="K23" s="107"/>
      <c r="L23" s="643" t="s">
        <v>288</v>
      </c>
      <c r="M23" s="657">
        <f>Summary!I18</f>
        <v>1089.2853055034784</v>
      </c>
    </row>
    <row r="24" spans="2:13" ht="12">
      <c r="B24" s="475"/>
      <c r="C24" s="801"/>
      <c r="D24" s="801"/>
      <c r="E24" s="469">
        <v>0</v>
      </c>
      <c r="F24" s="462">
        <f t="shared" si="4"/>
        <v>0</v>
      </c>
      <c r="G24" s="462"/>
      <c r="H24" s="480">
        <v>0</v>
      </c>
      <c r="I24" s="164"/>
      <c r="J24" s="310">
        <f t="shared" si="5"/>
        <v>0</v>
      </c>
      <c r="K24" s="107"/>
      <c r="L24" s="648"/>
      <c r="M24" s="661"/>
    </row>
    <row r="25" spans="2:13" ht="24">
      <c r="B25" s="475"/>
      <c r="C25" s="801"/>
      <c r="D25" s="801"/>
      <c r="E25" s="481"/>
      <c r="F25" s="462">
        <f t="shared" si="4"/>
        <v>0</v>
      </c>
      <c r="G25" s="462"/>
      <c r="H25" s="481"/>
      <c r="I25" s="164"/>
      <c r="J25" s="310">
        <f t="shared" si="5"/>
        <v>0</v>
      </c>
      <c r="K25" s="107"/>
      <c r="L25" s="649" t="s">
        <v>101</v>
      </c>
      <c r="M25" s="657">
        <f>Summary!I20</f>
        <v>1843.6518055034785</v>
      </c>
    </row>
    <row r="26" spans="2:13" ht="12">
      <c r="B26" s="475"/>
      <c r="C26" s="801"/>
      <c r="D26" s="801"/>
      <c r="E26" s="482"/>
      <c r="F26" s="462">
        <f t="shared" si="4"/>
        <v>0</v>
      </c>
      <c r="G26" s="462"/>
      <c r="H26" s="481"/>
      <c r="I26" s="164"/>
      <c r="J26" s="310">
        <f t="shared" si="5"/>
        <v>0</v>
      </c>
      <c r="K26" s="107"/>
      <c r="L26" s="649"/>
      <c r="M26" s="657"/>
    </row>
    <row r="27" spans="2:13" ht="12">
      <c r="B27" s="475"/>
      <c r="C27" s="801"/>
      <c r="D27" s="801"/>
      <c r="E27" s="482"/>
      <c r="F27" s="462">
        <f t="shared" si="4"/>
        <v>0</v>
      </c>
      <c r="G27" s="462"/>
      <c r="H27" s="481"/>
      <c r="I27" s="164"/>
      <c r="J27" s="310">
        <f t="shared" si="5"/>
        <v>0</v>
      </c>
      <c r="K27" s="107"/>
      <c r="L27" s="642" t="s">
        <v>180</v>
      </c>
      <c r="M27" s="657">
        <f>Summary!I22</f>
        <v>2244.5883768000003</v>
      </c>
    </row>
    <row r="28" spans="2:13" ht="12">
      <c r="B28" s="475"/>
      <c r="C28" s="801" t="s">
        <v>178</v>
      </c>
      <c r="D28" s="801"/>
      <c r="E28" s="482"/>
      <c r="F28" s="269"/>
      <c r="G28" s="269"/>
      <c r="H28" s="269"/>
      <c r="I28" s="443">
        <v>3.5</v>
      </c>
      <c r="J28" s="366">
        <f>G7*I28</f>
        <v>1715</v>
      </c>
      <c r="K28" s="107"/>
      <c r="L28" s="642"/>
      <c r="M28" s="655"/>
    </row>
    <row r="29" spans="2:13" ht="24" customHeight="1" thickBot="1">
      <c r="B29" s="476"/>
      <c r="C29" s="190" t="s">
        <v>307</v>
      </c>
      <c r="D29" s="186"/>
      <c r="E29" s="477"/>
      <c r="F29" s="478"/>
      <c r="G29" s="478"/>
      <c r="H29" s="188"/>
      <c r="I29" s="188"/>
      <c r="J29" s="479">
        <f>SUM(J22:J25)</f>
        <v>6154.4</v>
      </c>
      <c r="K29" s="110"/>
      <c r="L29" s="650" t="s">
        <v>99</v>
      </c>
      <c r="M29" s="662">
        <f>Summary!I24</f>
        <v>400.93657129652183</v>
      </c>
    </row>
    <row r="30" spans="2:10" ht="23.25" customHeight="1" thickBot="1">
      <c r="B30" s="68"/>
      <c r="C30" s="6"/>
      <c r="D30" s="6"/>
      <c r="E30" s="6"/>
      <c r="F30" s="6"/>
      <c r="G30" s="6"/>
      <c r="H30" s="6"/>
      <c r="I30" s="6"/>
      <c r="J30" s="6"/>
    </row>
    <row r="31" spans="2:11" ht="12">
      <c r="B31" s="470" t="s">
        <v>284</v>
      </c>
      <c r="C31" s="340"/>
      <c r="D31" s="223" t="s">
        <v>350</v>
      </c>
      <c r="E31" s="471" t="s">
        <v>351</v>
      </c>
      <c r="F31" s="483" t="s">
        <v>352</v>
      </c>
      <c r="G31" s="483"/>
      <c r="H31" s="223" t="s">
        <v>353</v>
      </c>
      <c r="I31" s="223"/>
      <c r="J31" s="225" t="s">
        <v>307</v>
      </c>
      <c r="K31" s="89"/>
    </row>
    <row r="32" spans="2:11" ht="12">
      <c r="B32" s="475"/>
      <c r="C32" s="169" t="s">
        <v>13</v>
      </c>
      <c r="D32" s="292">
        <v>0</v>
      </c>
      <c r="E32" s="292">
        <v>40</v>
      </c>
      <c r="F32" s="292">
        <v>0</v>
      </c>
      <c r="G32" s="292"/>
      <c r="H32" s="292">
        <v>0</v>
      </c>
      <c r="I32" s="210"/>
      <c r="J32" s="212"/>
      <c r="K32" s="38"/>
    </row>
    <row r="33" spans="2:11" ht="12">
      <c r="B33" s="475"/>
      <c r="C33" s="169" t="s">
        <v>472</v>
      </c>
      <c r="D33" s="443">
        <v>0.64</v>
      </c>
      <c r="E33" s="443">
        <v>0.74</v>
      </c>
      <c r="F33" s="443">
        <v>0</v>
      </c>
      <c r="G33" s="443"/>
      <c r="H33" s="443">
        <v>0</v>
      </c>
      <c r="I33" s="210"/>
      <c r="J33" s="252"/>
      <c r="K33" s="52"/>
    </row>
    <row r="34" spans="2:11" ht="12">
      <c r="B34" s="484"/>
      <c r="C34" s="210" t="s">
        <v>554</v>
      </c>
      <c r="D34" s="365">
        <f>D32*D33</f>
        <v>0</v>
      </c>
      <c r="E34" s="365">
        <f>E32*E33</f>
        <v>29.6</v>
      </c>
      <c r="F34" s="365">
        <f>F32*F33</f>
        <v>0</v>
      </c>
      <c r="G34" s="365">
        <f>G32*G33</f>
        <v>0</v>
      </c>
      <c r="H34" s="365">
        <f>H32*H33</f>
        <v>0</v>
      </c>
      <c r="I34" s="365"/>
      <c r="J34" s="375">
        <f>SUM(D34:I34)*G7</f>
        <v>14504</v>
      </c>
      <c r="K34" s="52"/>
    </row>
    <row r="35" spans="2:11" ht="36.75" customHeight="1">
      <c r="B35" s="485" t="s">
        <v>71</v>
      </c>
      <c r="C35" s="350"/>
      <c r="D35" s="350"/>
      <c r="E35" s="350"/>
      <c r="F35" s="350"/>
      <c r="G35" s="350"/>
      <c r="H35" s="254" t="s">
        <v>286</v>
      </c>
      <c r="I35" s="281"/>
      <c r="J35" s="411"/>
      <c r="K35" s="89"/>
    </row>
    <row r="36" spans="2:11" ht="12">
      <c r="B36" s="484"/>
      <c r="C36" s="486" t="s">
        <v>121</v>
      </c>
      <c r="D36" s="487"/>
      <c r="E36" s="210"/>
      <c r="F36" s="210"/>
      <c r="G36" s="210"/>
      <c r="H36" s="336">
        <v>5</v>
      </c>
      <c r="I36" s="210"/>
      <c r="J36" s="310">
        <f>H36*$G$7</f>
        <v>2450</v>
      </c>
      <c r="K36" s="66"/>
    </row>
    <row r="37" spans="2:11" ht="12">
      <c r="B37" s="484"/>
      <c r="C37" s="801"/>
      <c r="D37" s="801"/>
      <c r="E37" s="801"/>
      <c r="F37" s="801"/>
      <c r="G37" s="801"/>
      <c r="H37" s="336">
        <v>0</v>
      </c>
      <c r="I37" s="210"/>
      <c r="J37" s="310">
        <f>H37*$G$7</f>
        <v>0</v>
      </c>
      <c r="K37" s="66"/>
    </row>
    <row r="38" spans="2:11" ht="12">
      <c r="B38" s="484"/>
      <c r="C38" s="801"/>
      <c r="D38" s="801"/>
      <c r="E38" s="801"/>
      <c r="F38" s="801"/>
      <c r="G38" s="801"/>
      <c r="H38" s="336">
        <v>0</v>
      </c>
      <c r="I38" s="210"/>
      <c r="J38" s="310">
        <f>H38*$G$7</f>
        <v>0</v>
      </c>
      <c r="K38" s="66"/>
    </row>
    <row r="39" spans="2:11" ht="12">
      <c r="B39" s="484"/>
      <c r="C39" s="801"/>
      <c r="D39" s="801"/>
      <c r="E39" s="801"/>
      <c r="F39" s="801"/>
      <c r="G39" s="801"/>
      <c r="H39" s="336">
        <v>0</v>
      </c>
      <c r="I39" s="350"/>
      <c r="J39" s="366">
        <f>H39*$G$7</f>
        <v>0</v>
      </c>
      <c r="K39" s="66"/>
    </row>
    <row r="40" spans="2:11" ht="29.25" customHeight="1">
      <c r="B40" s="484"/>
      <c r="C40" s="210"/>
      <c r="D40" s="487"/>
      <c r="E40" s="210"/>
      <c r="F40" s="210"/>
      <c r="G40" s="210"/>
      <c r="H40" s="488"/>
      <c r="I40" s="177" t="s">
        <v>176</v>
      </c>
      <c r="J40" s="252">
        <f>SUM(J36:J39)</f>
        <v>2450</v>
      </c>
      <c r="K40" s="52"/>
    </row>
    <row r="41" spans="2:10" ht="12">
      <c r="B41" s="485" t="s">
        <v>41</v>
      </c>
      <c r="C41" s="210"/>
      <c r="D41" s="487"/>
      <c r="E41" s="210"/>
      <c r="F41" s="210"/>
      <c r="G41" s="210"/>
      <c r="H41" s="488" t="s">
        <v>354</v>
      </c>
      <c r="I41" s="210"/>
      <c r="J41" s="252"/>
    </row>
    <row r="42" spans="2:11" ht="12">
      <c r="B42" s="484"/>
      <c r="C42" s="801"/>
      <c r="D42" s="801"/>
      <c r="E42" s="801"/>
      <c r="F42" s="801"/>
      <c r="G42" s="801"/>
      <c r="H42" s="336">
        <v>5</v>
      </c>
      <c r="I42" s="394"/>
      <c r="J42" s="489">
        <f>$G$7*H42</f>
        <v>2450</v>
      </c>
      <c r="K42" s="66"/>
    </row>
    <row r="43" spans="2:11" ht="12">
      <c r="B43" s="484"/>
      <c r="C43" s="801"/>
      <c r="D43" s="801"/>
      <c r="E43" s="801"/>
      <c r="F43" s="801"/>
      <c r="G43" s="801"/>
      <c r="H43" s="336">
        <v>0</v>
      </c>
      <c r="I43" s="350"/>
      <c r="J43" s="366">
        <f>$G$7*H43</f>
        <v>0</v>
      </c>
      <c r="K43" s="66"/>
    </row>
    <row r="44" spans="2:11" ht="18.75" customHeight="1" thickBot="1">
      <c r="B44" s="490"/>
      <c r="C44" s="186"/>
      <c r="D44" s="491"/>
      <c r="E44" s="186"/>
      <c r="F44" s="186"/>
      <c r="G44" s="186"/>
      <c r="H44" s="186"/>
      <c r="I44" s="184" t="s">
        <v>307</v>
      </c>
      <c r="J44" s="479">
        <f>SUM(J42:J43)</f>
        <v>2450</v>
      </c>
      <c r="K44" s="52"/>
    </row>
    <row r="45" spans="2:10" ht="22.5" customHeight="1" thickBot="1">
      <c r="B45" s="68"/>
      <c r="C45" s="6"/>
      <c r="D45" s="6"/>
      <c r="E45" s="6"/>
      <c r="F45" s="6"/>
      <c r="G45" s="6"/>
      <c r="H45" s="6"/>
      <c r="I45" s="6"/>
      <c r="J45" s="6"/>
    </row>
    <row r="46" spans="2:11" ht="16.5" customHeight="1">
      <c r="B46" s="470" t="s">
        <v>72</v>
      </c>
      <c r="C46" s="347"/>
      <c r="D46" s="492" t="s">
        <v>286</v>
      </c>
      <c r="E46" s="493" t="s">
        <v>307</v>
      </c>
      <c r="F46" s="347"/>
      <c r="G46" s="347"/>
      <c r="H46" s="494"/>
      <c r="I46" s="473" t="s">
        <v>286</v>
      </c>
      <c r="J46" s="495" t="s">
        <v>307</v>
      </c>
      <c r="K46" s="94"/>
    </row>
    <row r="47" spans="2:11" ht="19.5" customHeight="1">
      <c r="B47" s="435"/>
      <c r="C47" s="169" t="s">
        <v>42</v>
      </c>
      <c r="D47" s="313">
        <f>E47/G7</f>
        <v>35.82</v>
      </c>
      <c r="E47" s="311">
        <f>J18</f>
        <v>17551.8</v>
      </c>
      <c r="F47" s="169" t="s">
        <v>190</v>
      </c>
      <c r="G47" s="210"/>
      <c r="H47" s="312"/>
      <c r="I47" s="342">
        <f>J47/G7</f>
        <v>5</v>
      </c>
      <c r="J47" s="310">
        <f>J40</f>
        <v>2450</v>
      </c>
      <c r="K47" s="66"/>
    </row>
    <row r="48" spans="2:11" ht="12">
      <c r="B48" s="475"/>
      <c r="C48" s="169" t="s">
        <v>43</v>
      </c>
      <c r="D48" s="313">
        <f>E48/G7</f>
        <v>12.559999999999999</v>
      </c>
      <c r="E48" s="311">
        <f>J29</f>
        <v>6154.4</v>
      </c>
      <c r="F48" s="169" t="s">
        <v>51</v>
      </c>
      <c r="G48" s="210"/>
      <c r="H48" s="312"/>
      <c r="I48" s="342">
        <f>J48/G7</f>
        <v>5</v>
      </c>
      <c r="J48" s="310">
        <f>J44</f>
        <v>2450</v>
      </c>
      <c r="K48" s="66"/>
    </row>
    <row r="49" spans="2:11" ht="12">
      <c r="B49" s="475"/>
      <c r="C49" s="282" t="s">
        <v>58</v>
      </c>
      <c r="D49" s="421">
        <f>E49/G7</f>
        <v>29.6</v>
      </c>
      <c r="E49" s="365">
        <f>J34</f>
        <v>14504</v>
      </c>
      <c r="F49" s="281" t="s">
        <v>356</v>
      </c>
      <c r="G49" s="161"/>
      <c r="H49" s="436"/>
      <c r="I49" s="496">
        <f>D47+D48+D49+I47+I48</f>
        <v>87.97999999999999</v>
      </c>
      <c r="J49" s="497">
        <f>E47+E48+E49+J47+J48</f>
        <v>43110.2</v>
      </c>
      <c r="K49" s="111"/>
    </row>
    <row r="50" spans="2:11" ht="12">
      <c r="B50" s="475"/>
      <c r="C50" s="210"/>
      <c r="D50" s="210"/>
      <c r="E50" s="210"/>
      <c r="F50" s="210" t="s">
        <v>382</v>
      </c>
      <c r="G50" s="318">
        <v>0.06</v>
      </c>
      <c r="H50" s="312"/>
      <c r="I50" s="342">
        <f>I49*G50/2</f>
        <v>2.6393999999999997</v>
      </c>
      <c r="J50" s="231">
        <f>J49*G50/2</f>
        <v>1293.3059999999998</v>
      </c>
      <c r="K50" s="99"/>
    </row>
    <row r="51" spans="2:11" ht="12">
      <c r="B51" s="475"/>
      <c r="C51" s="210"/>
      <c r="D51" s="210"/>
      <c r="E51" s="210"/>
      <c r="F51" s="161" t="s">
        <v>44</v>
      </c>
      <c r="G51" s="210"/>
      <c r="H51" s="312"/>
      <c r="I51" s="468">
        <f>SUM(I49:I50)</f>
        <v>90.61939999999998</v>
      </c>
      <c r="J51" s="498">
        <f>SUM(J49:J50)</f>
        <v>44403.505999999994</v>
      </c>
      <c r="K51" s="112"/>
    </row>
    <row r="52" spans="2:11" ht="21" customHeight="1">
      <c r="B52" s="485" t="s">
        <v>45</v>
      </c>
      <c r="C52" s="350"/>
      <c r="D52" s="350"/>
      <c r="E52" s="350"/>
      <c r="F52" s="499"/>
      <c r="G52" s="499"/>
      <c r="H52" s="210"/>
      <c r="I52" s="269"/>
      <c r="J52" s="375" t="s">
        <v>307</v>
      </c>
      <c r="K52" s="94"/>
    </row>
    <row r="53" spans="2:11" ht="12">
      <c r="B53" s="475"/>
      <c r="C53" s="210"/>
      <c r="D53" s="169" t="s">
        <v>391</v>
      </c>
      <c r="E53" s="169"/>
      <c r="F53" s="169"/>
      <c r="G53" s="210"/>
      <c r="H53" s="500">
        <v>6</v>
      </c>
      <c r="I53" s="169" t="s">
        <v>217</v>
      </c>
      <c r="J53" s="310">
        <f>J51/H53</f>
        <v>7400.584333333332</v>
      </c>
      <c r="K53" s="66"/>
    </row>
    <row r="54" spans="2:11" ht="12">
      <c r="B54" s="475"/>
      <c r="C54" s="210"/>
      <c r="D54" s="210"/>
      <c r="E54" s="210"/>
      <c r="F54" s="254" t="s">
        <v>46</v>
      </c>
      <c r="G54" s="210"/>
      <c r="H54" s="210"/>
      <c r="I54" s="164"/>
      <c r="J54" s="252">
        <f>SUM(J53:J53)</f>
        <v>7400.584333333332</v>
      </c>
      <c r="K54" s="110"/>
    </row>
    <row r="55" spans="2:11" ht="12.75" thickBot="1">
      <c r="B55" s="476"/>
      <c r="C55" s="186"/>
      <c r="D55" s="186"/>
      <c r="E55" s="186"/>
      <c r="F55" s="190" t="s">
        <v>146</v>
      </c>
      <c r="G55" s="186"/>
      <c r="H55" s="186"/>
      <c r="I55" s="188"/>
      <c r="J55" s="289">
        <f>J54/G7</f>
        <v>15.103233333333332</v>
      </c>
      <c r="K55" s="53"/>
    </row>
    <row r="56" spans="2:15" s="23" customFormat="1" ht="12">
      <c r="B56" s="71"/>
      <c r="C56" s="38"/>
      <c r="D56" s="38"/>
      <c r="E56" s="38"/>
      <c r="F56" s="8"/>
      <c r="G56" s="38"/>
      <c r="H56" s="38"/>
      <c r="I56" s="38"/>
      <c r="J56" s="53"/>
      <c r="K56" s="53"/>
      <c r="N56" s="24"/>
      <c r="O56" s="25"/>
    </row>
    <row r="57" spans="2:15" s="6" customFormat="1" ht="13.5">
      <c r="B57" s="453" t="s">
        <v>567</v>
      </c>
      <c r="C57" s="454"/>
      <c r="D57" s="454"/>
      <c r="E57" s="454"/>
      <c r="F57" s="454"/>
      <c r="G57" s="454"/>
      <c r="H57" s="454"/>
      <c r="N57" s="70"/>
      <c r="O57" s="26"/>
    </row>
    <row r="58" spans="2:15" s="6" customFormat="1" ht="13.5">
      <c r="B58" s="455" t="s">
        <v>47</v>
      </c>
      <c r="C58" s="454"/>
      <c r="D58" s="454"/>
      <c r="E58" s="454"/>
      <c r="F58" s="454"/>
      <c r="G58" s="454"/>
      <c r="H58" s="454"/>
      <c r="N58" s="70"/>
      <c r="O58" s="26"/>
    </row>
    <row r="59" spans="2:15" s="6" customFormat="1" ht="13.5">
      <c r="B59" s="455" t="s">
        <v>48</v>
      </c>
      <c r="C59" s="454"/>
      <c r="D59" s="454"/>
      <c r="E59" s="454"/>
      <c r="F59" s="454"/>
      <c r="G59" s="454"/>
      <c r="H59" s="454"/>
      <c r="N59" s="70"/>
      <c r="O59" s="26"/>
    </row>
    <row r="60" spans="2:15" s="6" customFormat="1" ht="13.5">
      <c r="B60" s="455" t="s">
        <v>294</v>
      </c>
      <c r="C60" s="454"/>
      <c r="D60" s="454"/>
      <c r="E60" s="454"/>
      <c r="F60" s="454"/>
      <c r="G60" s="454"/>
      <c r="H60" s="454"/>
      <c r="N60" s="70"/>
      <c r="O60" s="26"/>
    </row>
    <row r="61" spans="2:15" s="6" customFormat="1" ht="13.5">
      <c r="B61" s="455" t="s">
        <v>262</v>
      </c>
      <c r="C61" s="454"/>
      <c r="D61" s="454"/>
      <c r="E61" s="454"/>
      <c r="F61" s="454"/>
      <c r="G61" s="454"/>
      <c r="H61" s="454"/>
      <c r="N61" s="70"/>
      <c r="O61" s="26"/>
    </row>
    <row r="62" spans="2:15" s="6" customFormat="1" ht="13.5">
      <c r="B62" s="456" t="s">
        <v>555</v>
      </c>
      <c r="C62" s="454"/>
      <c r="D62" s="457"/>
      <c r="E62" s="454"/>
      <c r="F62" s="454"/>
      <c r="G62" s="454"/>
      <c r="H62" s="458"/>
      <c r="N62" s="70"/>
      <c r="O62" s="26"/>
    </row>
    <row r="63" spans="2:15" s="6" customFormat="1" ht="13.5">
      <c r="B63" s="459" t="s">
        <v>49</v>
      </c>
      <c r="C63" s="454"/>
      <c r="D63" s="454"/>
      <c r="E63" s="454"/>
      <c r="F63" s="454"/>
      <c r="G63" s="454"/>
      <c r="H63" s="454"/>
      <c r="N63" s="70"/>
      <c r="O63" s="26"/>
    </row>
    <row r="64" spans="2:15" s="6" customFormat="1" ht="13.5">
      <c r="B64" s="459" t="s">
        <v>50</v>
      </c>
      <c r="C64" s="454"/>
      <c r="D64" s="454"/>
      <c r="E64" s="454"/>
      <c r="F64" s="454"/>
      <c r="G64" s="454"/>
      <c r="H64" s="454"/>
      <c r="J64" s="69"/>
      <c r="K64" s="69"/>
      <c r="N64" s="70"/>
      <c r="O64" s="26"/>
    </row>
    <row r="66" ht="12.75" thickBot="1"/>
    <row r="67" spans="2:9" ht="12">
      <c r="B67" s="27" t="s">
        <v>410</v>
      </c>
      <c r="C67" s="113"/>
      <c r="D67" s="28"/>
      <c r="E67" s="29"/>
      <c r="F67" s="30"/>
      <c r="G67" s="30"/>
      <c r="H67" s="30"/>
      <c r="I67" s="31"/>
    </row>
    <row r="68" spans="2:9" ht="12">
      <c r="B68" s="32" t="s">
        <v>411</v>
      </c>
      <c r="C68" s="114"/>
      <c r="D68" s="33" t="s">
        <v>412</v>
      </c>
      <c r="E68" s="34" t="s">
        <v>102</v>
      </c>
      <c r="F68" s="35" t="s">
        <v>413</v>
      </c>
      <c r="G68" s="36"/>
      <c r="H68" s="36"/>
      <c r="I68" s="37" t="s">
        <v>414</v>
      </c>
    </row>
    <row r="69" spans="2:9" ht="12">
      <c r="B69" s="55"/>
      <c r="C69" s="114"/>
      <c r="D69" s="33"/>
      <c r="E69" s="34"/>
      <c r="F69" s="56" t="s">
        <v>415</v>
      </c>
      <c r="G69" s="36" t="s">
        <v>416</v>
      </c>
      <c r="H69" s="36" t="s">
        <v>417</v>
      </c>
      <c r="I69" s="37" t="s">
        <v>418</v>
      </c>
    </row>
    <row r="70" spans="2:9" ht="12">
      <c r="B70" s="122" t="s">
        <v>419</v>
      </c>
      <c r="C70" s="120"/>
      <c r="D70" s="57">
        <v>200000</v>
      </c>
      <c r="E70" s="58">
        <f>D70/43560</f>
        <v>4.591368227731864</v>
      </c>
      <c r="F70" s="59">
        <v>6</v>
      </c>
      <c r="G70" s="59">
        <v>8</v>
      </c>
      <c r="H70" s="59">
        <v>13</v>
      </c>
      <c r="I70" s="115">
        <v>8</v>
      </c>
    </row>
    <row r="71" spans="2:9" ht="12">
      <c r="B71" s="123" t="s">
        <v>420</v>
      </c>
      <c r="C71" s="120"/>
      <c r="D71" s="57">
        <v>700000</v>
      </c>
      <c r="E71" s="58">
        <f aca="true" t="shared" si="6" ref="E71:E88">D71/43560</f>
        <v>16.069788797061523</v>
      </c>
      <c r="F71" s="58">
        <v>21</v>
      </c>
      <c r="G71" s="59">
        <v>28</v>
      </c>
      <c r="H71" s="59">
        <v>42</v>
      </c>
      <c r="I71" s="115">
        <v>3</v>
      </c>
    </row>
    <row r="72" spans="2:9" ht="12">
      <c r="B72" s="123" t="s">
        <v>421</v>
      </c>
      <c r="C72" s="120"/>
      <c r="D72" s="57">
        <v>275000</v>
      </c>
      <c r="E72" s="58">
        <f t="shared" si="6"/>
        <v>6.313131313131313</v>
      </c>
      <c r="F72" s="58">
        <v>8</v>
      </c>
      <c r="G72" s="59">
        <v>11</v>
      </c>
      <c r="H72" s="59">
        <v>17</v>
      </c>
      <c r="I72" s="115">
        <v>8</v>
      </c>
    </row>
    <row r="73" spans="2:9" ht="12">
      <c r="B73" s="123" t="s">
        <v>422</v>
      </c>
      <c r="C73" s="120"/>
      <c r="D73" s="57">
        <v>800000</v>
      </c>
      <c r="E73" s="58">
        <f t="shared" si="6"/>
        <v>18.365472910927455</v>
      </c>
      <c r="F73" s="58">
        <v>23</v>
      </c>
      <c r="G73" s="59">
        <v>33</v>
      </c>
      <c r="H73" s="59">
        <v>50</v>
      </c>
      <c r="I73" s="115">
        <v>3</v>
      </c>
    </row>
    <row r="74" spans="2:9" ht="12">
      <c r="B74" s="123" t="s">
        <v>423</v>
      </c>
      <c r="C74" s="120"/>
      <c r="D74" s="57">
        <v>260000</v>
      </c>
      <c r="E74" s="58">
        <f t="shared" si="6"/>
        <v>5.968778696051423</v>
      </c>
      <c r="F74" s="58">
        <v>8</v>
      </c>
      <c r="G74" s="59">
        <v>10</v>
      </c>
      <c r="H74" s="59">
        <v>16</v>
      </c>
      <c r="I74" s="115">
        <v>8</v>
      </c>
    </row>
    <row r="75" spans="2:9" ht="12">
      <c r="B75" s="123" t="s">
        <v>424</v>
      </c>
      <c r="C75" s="120"/>
      <c r="D75" s="57">
        <v>375000</v>
      </c>
      <c r="E75" s="58">
        <f t="shared" si="6"/>
        <v>8.608815426997245</v>
      </c>
      <c r="F75" s="58">
        <v>11</v>
      </c>
      <c r="G75" s="59">
        <v>16</v>
      </c>
      <c r="H75" s="59">
        <v>23</v>
      </c>
      <c r="I75" s="115">
        <v>4</v>
      </c>
    </row>
    <row r="76" spans="2:9" ht="12">
      <c r="B76" s="123" t="s">
        <v>425</v>
      </c>
      <c r="C76" s="120"/>
      <c r="D76" s="57">
        <v>80000</v>
      </c>
      <c r="E76" s="58">
        <f t="shared" si="6"/>
        <v>1.8365472910927456</v>
      </c>
      <c r="F76" s="58">
        <v>2</v>
      </c>
      <c r="G76" s="59">
        <v>3</v>
      </c>
      <c r="H76" s="59">
        <v>4</v>
      </c>
      <c r="I76" s="115">
        <v>8</v>
      </c>
    </row>
    <row r="77" spans="2:9" ht="12">
      <c r="B77" s="123" t="s">
        <v>426</v>
      </c>
      <c r="C77" s="120"/>
      <c r="D77" s="57">
        <v>136000</v>
      </c>
      <c r="E77" s="58">
        <f t="shared" si="6"/>
        <v>3.1221303948576677</v>
      </c>
      <c r="F77" s="58">
        <v>4</v>
      </c>
      <c r="G77" s="59">
        <v>6</v>
      </c>
      <c r="H77" s="59">
        <v>8</v>
      </c>
      <c r="I77" s="115">
        <v>6</v>
      </c>
    </row>
    <row r="78" spans="2:9" ht="12">
      <c r="B78" s="123" t="s">
        <v>427</v>
      </c>
      <c r="C78" s="120"/>
      <c r="D78" s="57">
        <v>88000</v>
      </c>
      <c r="E78" s="58">
        <f t="shared" si="6"/>
        <v>2.0202020202020203</v>
      </c>
      <c r="F78" s="58">
        <v>3</v>
      </c>
      <c r="G78" s="58">
        <v>4</v>
      </c>
      <c r="H78" s="59">
        <v>6</v>
      </c>
      <c r="I78" s="115">
        <v>8</v>
      </c>
    </row>
    <row r="79" spans="2:9" ht="12">
      <c r="B79" s="123" t="s">
        <v>428</v>
      </c>
      <c r="C79" s="120"/>
      <c r="D79" s="57">
        <v>160000</v>
      </c>
      <c r="E79" s="58">
        <f t="shared" si="6"/>
        <v>3.6730945821854912</v>
      </c>
      <c r="F79" s="58">
        <v>5</v>
      </c>
      <c r="G79" s="58">
        <v>7</v>
      </c>
      <c r="H79" s="58">
        <v>10</v>
      </c>
      <c r="I79" s="116">
        <v>6</v>
      </c>
    </row>
    <row r="80" spans="2:9" ht="12">
      <c r="B80" s="123" t="s">
        <v>429</v>
      </c>
      <c r="C80" s="120"/>
      <c r="D80" s="57">
        <v>80000</v>
      </c>
      <c r="E80" s="58">
        <f t="shared" si="6"/>
        <v>1.8365472910927456</v>
      </c>
      <c r="F80" s="58">
        <v>2</v>
      </c>
      <c r="G80" s="58">
        <v>3</v>
      </c>
      <c r="H80" s="58">
        <v>4</v>
      </c>
      <c r="I80" s="116">
        <v>8</v>
      </c>
    </row>
    <row r="81" spans="2:9" ht="12">
      <c r="B81" s="123" t="s">
        <v>430</v>
      </c>
      <c r="C81" s="120"/>
      <c r="D81" s="57">
        <v>190000</v>
      </c>
      <c r="E81" s="58">
        <f t="shared" si="6"/>
        <v>4.361799816345271</v>
      </c>
      <c r="F81" s="58">
        <v>5</v>
      </c>
      <c r="G81" s="58">
        <v>7</v>
      </c>
      <c r="H81" s="58">
        <v>11</v>
      </c>
      <c r="I81" s="116">
        <v>8</v>
      </c>
    </row>
    <row r="82" spans="2:9" ht="12">
      <c r="B82" s="123" t="s">
        <v>431</v>
      </c>
      <c r="C82" s="120"/>
      <c r="D82" s="57">
        <v>230000</v>
      </c>
      <c r="E82" s="58">
        <f t="shared" si="6"/>
        <v>5.280073461891644</v>
      </c>
      <c r="F82" s="58">
        <v>7</v>
      </c>
      <c r="G82" s="58">
        <v>10</v>
      </c>
      <c r="H82" s="58">
        <v>14</v>
      </c>
      <c r="I82" s="116">
        <v>8</v>
      </c>
    </row>
    <row r="83" spans="2:9" ht="12">
      <c r="B83" s="123" t="s">
        <v>432</v>
      </c>
      <c r="C83" s="120"/>
      <c r="D83" s="57">
        <v>227000</v>
      </c>
      <c r="E83" s="58">
        <f t="shared" si="6"/>
        <v>5.211202938475666</v>
      </c>
      <c r="F83" s="58">
        <v>7</v>
      </c>
      <c r="G83" s="58">
        <v>10</v>
      </c>
      <c r="H83" s="58">
        <v>14</v>
      </c>
      <c r="I83" s="116">
        <v>8</v>
      </c>
    </row>
    <row r="84" spans="2:9" ht="12">
      <c r="B84" s="123" t="s">
        <v>433</v>
      </c>
      <c r="C84" s="120"/>
      <c r="D84" s="57">
        <v>615000</v>
      </c>
      <c r="E84" s="58">
        <f t="shared" si="6"/>
        <v>14.118457300275482</v>
      </c>
      <c r="F84" s="58">
        <v>18</v>
      </c>
      <c r="G84" s="58">
        <v>25</v>
      </c>
      <c r="H84" s="58">
        <v>37</v>
      </c>
      <c r="I84" s="116">
        <v>6</v>
      </c>
    </row>
    <row r="85" spans="2:9" ht="12">
      <c r="B85" s="123" t="s">
        <v>434</v>
      </c>
      <c r="C85" s="120"/>
      <c r="D85" s="57">
        <v>577000</v>
      </c>
      <c r="E85" s="58">
        <f t="shared" si="6"/>
        <v>13.246097337006429</v>
      </c>
      <c r="F85" s="58">
        <v>17</v>
      </c>
      <c r="G85" s="58">
        <v>24</v>
      </c>
      <c r="H85" s="58">
        <v>36</v>
      </c>
      <c r="I85" s="116">
        <v>6</v>
      </c>
    </row>
    <row r="86" spans="2:9" ht="12">
      <c r="B86" s="123" t="s">
        <v>435</v>
      </c>
      <c r="C86" s="120"/>
      <c r="D86" s="57">
        <v>753000</v>
      </c>
      <c r="E86" s="58">
        <f t="shared" si="6"/>
        <v>17.286501377410467</v>
      </c>
      <c r="F86" s="58">
        <v>23</v>
      </c>
      <c r="G86" s="58">
        <v>31</v>
      </c>
      <c r="H86" s="58">
        <v>47</v>
      </c>
      <c r="I86" s="116">
        <v>5</v>
      </c>
    </row>
    <row r="87" spans="2:9" ht="12">
      <c r="B87" s="123" t="s">
        <v>436</v>
      </c>
      <c r="C87" s="120"/>
      <c r="D87" s="57">
        <v>650000</v>
      </c>
      <c r="E87" s="58">
        <f t="shared" si="6"/>
        <v>14.921946740128558</v>
      </c>
      <c r="F87" s="58">
        <v>20</v>
      </c>
      <c r="G87" s="58">
        <v>27</v>
      </c>
      <c r="H87" s="58">
        <v>39</v>
      </c>
      <c r="I87" s="116">
        <v>6</v>
      </c>
    </row>
    <row r="88" spans="2:9" ht="12">
      <c r="B88" s="123" t="s">
        <v>437</v>
      </c>
      <c r="C88" s="120"/>
      <c r="D88" s="57">
        <v>1230000</v>
      </c>
      <c r="E88" s="58">
        <f t="shared" si="6"/>
        <v>28.236914600550964</v>
      </c>
      <c r="F88" s="58">
        <v>37</v>
      </c>
      <c r="G88" s="58">
        <v>50</v>
      </c>
      <c r="H88" s="58">
        <v>73</v>
      </c>
      <c r="I88" s="116">
        <v>2</v>
      </c>
    </row>
    <row r="89" spans="2:9" ht="12.75" thickBot="1">
      <c r="B89" s="124" t="s">
        <v>438</v>
      </c>
      <c r="C89" s="121"/>
      <c r="D89" s="117">
        <v>530000</v>
      </c>
      <c r="E89" s="118">
        <f>D89/43560</f>
        <v>12.16712580348944</v>
      </c>
      <c r="F89" s="118">
        <v>16</v>
      </c>
      <c r="G89" s="118">
        <v>22</v>
      </c>
      <c r="H89" s="118">
        <v>33</v>
      </c>
      <c r="I89" s="119">
        <v>6</v>
      </c>
    </row>
  </sheetData>
  <sheetProtection sheet="1" objects="1" scenarios="1" selectLockedCells="1"/>
  <mergeCells count="21">
    <mergeCell ref="C22:D22"/>
    <mergeCell ref="C23:D23"/>
    <mergeCell ref="C12:D12"/>
    <mergeCell ref="C25:D25"/>
    <mergeCell ref="C17:D17"/>
    <mergeCell ref="C16:D16"/>
    <mergeCell ref="C24:D24"/>
    <mergeCell ref="C43:G43"/>
    <mergeCell ref="C26:D26"/>
    <mergeCell ref="C27:D27"/>
    <mergeCell ref="C28:D28"/>
    <mergeCell ref="C37:G37"/>
    <mergeCell ref="C39:G39"/>
    <mergeCell ref="C42:G42"/>
    <mergeCell ref="C38:G38"/>
    <mergeCell ref="B5:J5"/>
    <mergeCell ref="C15:D15"/>
    <mergeCell ref="C13:D13"/>
    <mergeCell ref="C10:D10"/>
    <mergeCell ref="C11:D11"/>
    <mergeCell ref="C14:D14"/>
  </mergeCells>
  <printOptions/>
  <pageMargins left="0.75" right="0.75" top="1" bottom="0.83" header="0.5" footer="0.5"/>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sheetPr codeName="Sheet8"/>
  <dimension ref="A2:T86"/>
  <sheetViews>
    <sheetView defaultGridColor="0" zoomScalePageLayoutView="0" colorId="55" workbookViewId="0" topLeftCell="A1">
      <selection activeCell="C10" sqref="C10"/>
    </sheetView>
  </sheetViews>
  <sheetFormatPr defaultColWidth="9.00390625" defaultRowHeight="12.75"/>
  <cols>
    <col min="1" max="1" width="2.375" style="9" customWidth="1"/>
    <col min="2" max="2" width="7.625" style="5" customWidth="1"/>
    <col min="3" max="3" width="20.00390625" style="5" customWidth="1"/>
    <col min="4" max="4" width="9.375" style="5" customWidth="1"/>
    <col min="5" max="5" width="10.00390625" style="5" customWidth="1"/>
    <col min="6" max="6" width="9.875" style="5" customWidth="1"/>
    <col min="7" max="7" width="9.625" style="5" customWidth="1"/>
    <col min="8" max="8" width="8.875" style="2" customWidth="1"/>
    <col min="9" max="9" width="10.50390625" style="5" customWidth="1"/>
    <col min="10" max="10" width="0.6171875" style="6" hidden="1" customWidth="1"/>
    <col min="11" max="11" width="7.625" style="5" customWidth="1"/>
    <col min="12" max="12" width="35.625" style="9" customWidth="1"/>
    <col min="13" max="16384" width="9.00390625" style="9" customWidth="1"/>
  </cols>
  <sheetData>
    <row r="1" ht="15" customHeight="1"/>
    <row r="2" spans="4:20" ht="31.5" customHeight="1">
      <c r="D2" s="11"/>
      <c r="G2" s="19"/>
      <c r="H2" s="19"/>
      <c r="I2" s="137"/>
      <c r="J2" s="137"/>
      <c r="K2" s="41"/>
      <c r="L2" s="68"/>
      <c r="M2" s="97"/>
      <c r="N2" s="61"/>
      <c r="O2" s="5"/>
      <c r="P2" s="47"/>
      <c r="Q2" s="47"/>
      <c r="R2" s="47"/>
      <c r="S2" s="47"/>
      <c r="T2" s="47"/>
    </row>
    <row r="3" ht="15" customHeight="1"/>
    <row r="4" ht="15" customHeight="1"/>
    <row r="5" spans="2:9" ht="15" customHeight="1">
      <c r="B5" s="810"/>
      <c r="C5" s="811"/>
      <c r="D5" s="811"/>
      <c r="E5" s="811"/>
      <c r="F5" s="811"/>
      <c r="G5" s="811"/>
      <c r="H5" s="811"/>
      <c r="I5" s="811"/>
    </row>
    <row r="6" spans="2:12" s="666" customFormat="1" ht="15" customHeight="1" thickBot="1">
      <c r="B6" s="735" t="s">
        <v>484</v>
      </c>
      <c r="C6" s="736"/>
      <c r="E6" s="707"/>
      <c r="F6" s="707"/>
      <c r="G6" s="707"/>
      <c r="H6" s="737"/>
      <c r="I6" s="707"/>
      <c r="J6" s="718"/>
      <c r="K6" s="707"/>
      <c r="L6" s="668" t="s">
        <v>173</v>
      </c>
    </row>
    <row r="7" spans="2:13" ht="15">
      <c r="B7" s="729"/>
      <c r="C7" s="730"/>
      <c r="D7" s="730"/>
      <c r="E7" s="730"/>
      <c r="F7" s="731" t="s">
        <v>263</v>
      </c>
      <c r="G7" s="732">
        <f>'1 Inputs'!D12</f>
        <v>260</v>
      </c>
      <c r="H7" s="733"/>
      <c r="I7" s="734"/>
      <c r="J7" s="38"/>
      <c r="K7" s="63"/>
      <c r="L7" s="641"/>
      <c r="M7" s="652" t="str">
        <f>Summary!I2</f>
        <v>Cost/day</v>
      </c>
    </row>
    <row r="8" spans="2:13" ht="12">
      <c r="B8" s="354"/>
      <c r="C8" s="210"/>
      <c r="D8" s="210"/>
      <c r="E8" s="210"/>
      <c r="F8" s="210"/>
      <c r="G8" s="210"/>
      <c r="H8" s="311"/>
      <c r="I8" s="304"/>
      <c r="J8" s="38"/>
      <c r="K8" s="15"/>
      <c r="L8" s="642" t="s">
        <v>130</v>
      </c>
      <c r="M8" s="651"/>
    </row>
    <row r="9" spans="2:13" ht="12">
      <c r="B9" s="509" t="s">
        <v>105</v>
      </c>
      <c r="C9" s="161"/>
      <c r="D9" s="250" t="s">
        <v>344</v>
      </c>
      <c r="E9" s="250" t="s">
        <v>392</v>
      </c>
      <c r="F9" s="267" t="s">
        <v>176</v>
      </c>
      <c r="G9" s="250" t="s">
        <v>393</v>
      </c>
      <c r="H9" s="332" t="s">
        <v>394</v>
      </c>
      <c r="I9" s="411" t="s">
        <v>33</v>
      </c>
      <c r="J9" s="89"/>
      <c r="K9" s="15"/>
      <c r="L9" s="643" t="s">
        <v>91</v>
      </c>
      <c r="M9" s="653">
        <f>Summary!I4</f>
        <v>1.3559155438921406</v>
      </c>
    </row>
    <row r="10" spans="2:13" ht="12">
      <c r="B10" s="305"/>
      <c r="C10" s="508" t="s">
        <v>147</v>
      </c>
      <c r="D10" s="481">
        <v>210</v>
      </c>
      <c r="E10" s="481">
        <v>4</v>
      </c>
      <c r="F10" s="164">
        <f aca="true" t="shared" si="0" ref="F10:F15">E10*D10</f>
        <v>840</v>
      </c>
      <c r="G10" s="481">
        <v>1150</v>
      </c>
      <c r="H10" s="338">
        <v>85</v>
      </c>
      <c r="I10" s="510">
        <f>(((E10*D10)*(G10))*(H10/100))/2000</f>
        <v>410.55</v>
      </c>
      <c r="J10" s="125"/>
      <c r="K10" s="15"/>
      <c r="L10" s="643" t="s">
        <v>314</v>
      </c>
      <c r="M10" s="653">
        <f>Summary!I5</f>
        <v>1.4580182043855454</v>
      </c>
    </row>
    <row r="11" spans="2:13" ht="12">
      <c r="B11" s="305"/>
      <c r="C11" s="508" t="s">
        <v>148</v>
      </c>
      <c r="D11" s="481">
        <v>50</v>
      </c>
      <c r="E11" s="481">
        <v>5</v>
      </c>
      <c r="F11" s="164">
        <f t="shared" si="0"/>
        <v>250</v>
      </c>
      <c r="G11" s="481">
        <v>1545</v>
      </c>
      <c r="H11" s="338">
        <v>45</v>
      </c>
      <c r="I11" s="510">
        <f>(((E11*D11)*(G11))*(H11/100))/2000</f>
        <v>86.90625</v>
      </c>
      <c r="J11" s="125"/>
      <c r="K11" s="15"/>
      <c r="L11" s="643" t="s">
        <v>56</v>
      </c>
      <c r="M11" s="654">
        <f>Summary!I6</f>
        <v>1.7061756496952287</v>
      </c>
    </row>
    <row r="12" spans="2:13" ht="12">
      <c r="B12" s="305"/>
      <c r="C12" s="508" t="s">
        <v>149</v>
      </c>
      <c r="D12" s="481">
        <v>0</v>
      </c>
      <c r="E12" s="481">
        <v>120</v>
      </c>
      <c r="F12" s="164">
        <f t="shared" si="0"/>
        <v>0</v>
      </c>
      <c r="G12" s="481">
        <v>75</v>
      </c>
      <c r="H12" s="338">
        <v>85</v>
      </c>
      <c r="I12" s="510">
        <f>(((E12*D12)*(G12))*(H12/100))/2000</f>
        <v>0</v>
      </c>
      <c r="J12" s="125"/>
      <c r="K12" s="15"/>
      <c r="L12" s="644" t="s">
        <v>176</v>
      </c>
      <c r="M12" s="655"/>
    </row>
    <row r="13" spans="2:13" ht="12">
      <c r="B13" s="305"/>
      <c r="C13" s="508" t="s">
        <v>150</v>
      </c>
      <c r="D13" s="481"/>
      <c r="E13" s="481"/>
      <c r="F13" s="164">
        <f t="shared" si="0"/>
        <v>0</v>
      </c>
      <c r="G13" s="481"/>
      <c r="H13" s="338"/>
      <c r="I13" s="510">
        <f>(((E13*D13)*(G13))*(H13/100))/2000</f>
        <v>0</v>
      </c>
      <c r="J13" s="125"/>
      <c r="K13" s="15"/>
      <c r="L13" s="643" t="s">
        <v>55</v>
      </c>
      <c r="M13" s="656">
        <f>Summary!I8</f>
        <v>1.3559155438921406</v>
      </c>
    </row>
    <row r="14" spans="2:13" ht="12">
      <c r="B14" s="305"/>
      <c r="C14" s="508" t="s">
        <v>396</v>
      </c>
      <c r="D14" s="481"/>
      <c r="E14" s="481"/>
      <c r="F14" s="164">
        <f t="shared" si="0"/>
        <v>0</v>
      </c>
      <c r="G14" s="481"/>
      <c r="H14" s="338"/>
      <c r="I14" s="510">
        <f>(((E14*D14)*(G14))*(H14/100))/2000</f>
        <v>0</v>
      </c>
      <c r="J14" s="125"/>
      <c r="K14" s="15"/>
      <c r="L14" s="645"/>
      <c r="M14" s="657">
        <f>Summary!I9</f>
        <v>559.2806133740416</v>
      </c>
    </row>
    <row r="15" spans="2:13" ht="12">
      <c r="B15" s="305"/>
      <c r="C15" s="337"/>
      <c r="D15" s="481"/>
      <c r="E15" s="337"/>
      <c r="F15" s="269">
        <f t="shared" si="0"/>
        <v>0</v>
      </c>
      <c r="G15" s="337"/>
      <c r="H15" s="316"/>
      <c r="I15" s="437"/>
      <c r="J15" s="38"/>
      <c r="K15" s="15"/>
      <c r="L15" s="646" t="s">
        <v>321</v>
      </c>
      <c r="M15" s="658"/>
    </row>
    <row r="16" spans="2:13" ht="12">
      <c r="B16" s="305"/>
      <c r="C16" s="169" t="s">
        <v>151</v>
      </c>
      <c r="D16" s="164">
        <f>SUM(D10:D15)</f>
        <v>260</v>
      </c>
      <c r="E16" s="164"/>
      <c r="F16" s="164"/>
      <c r="G16" s="164"/>
      <c r="H16" s="391"/>
      <c r="I16" s="510">
        <f>SUM(I10:I15)</f>
        <v>497.45625</v>
      </c>
      <c r="J16" s="125"/>
      <c r="L16" s="647" t="s">
        <v>298</v>
      </c>
      <c r="M16" s="659"/>
    </row>
    <row r="17" spans="2:13" ht="12">
      <c r="B17" s="305"/>
      <c r="C17" s="169" t="s">
        <v>478</v>
      </c>
      <c r="D17" s="201">
        <f>'1 Inputs'!D12</f>
        <v>260</v>
      </c>
      <c r="E17" s="210"/>
      <c r="F17" s="210"/>
      <c r="G17" s="210"/>
      <c r="H17" s="368" t="s">
        <v>556</v>
      </c>
      <c r="I17" s="510">
        <f>'1 Inputs'!F12</f>
        <v>520</v>
      </c>
      <c r="J17" s="126"/>
      <c r="K17" s="15"/>
      <c r="L17" s="643" t="s">
        <v>96</v>
      </c>
      <c r="M17" s="653">
        <f>Summary!I12</f>
        <v>1.4966344356687609</v>
      </c>
    </row>
    <row r="18" spans="2:13" ht="12.75" thickBot="1">
      <c r="B18" s="511"/>
      <c r="C18" s="186"/>
      <c r="D18" s="186"/>
      <c r="E18" s="186"/>
      <c r="F18" s="186"/>
      <c r="G18" s="186" t="s">
        <v>544</v>
      </c>
      <c r="H18" s="334"/>
      <c r="I18" s="512">
        <f>I17-I16</f>
        <v>22.54374999999999</v>
      </c>
      <c r="J18" s="125"/>
      <c r="K18" s="15"/>
      <c r="L18" s="644" t="s">
        <v>176</v>
      </c>
      <c r="M18" s="657">
        <f>Summary!I13</f>
        <v>339.73601689680874</v>
      </c>
    </row>
    <row r="19" spans="2:13" ht="14.25" customHeight="1" thickBot="1">
      <c r="B19" s="7"/>
      <c r="C19" s="38"/>
      <c r="D19" s="38"/>
      <c r="E19" s="38"/>
      <c r="F19" s="38"/>
      <c r="G19" s="38"/>
      <c r="H19" s="66"/>
      <c r="I19" s="127"/>
      <c r="J19" s="127"/>
      <c r="K19" s="15"/>
      <c r="L19" s="647" t="s">
        <v>299</v>
      </c>
      <c r="M19" s="660"/>
    </row>
    <row r="20" spans="2:13" ht="17.25" customHeight="1">
      <c r="B20" s="513" t="s">
        <v>279</v>
      </c>
      <c r="C20" s="340"/>
      <c r="D20" s="224" t="s">
        <v>350</v>
      </c>
      <c r="E20" s="223" t="s">
        <v>351</v>
      </c>
      <c r="F20" s="224" t="s">
        <v>352</v>
      </c>
      <c r="G20" s="223" t="s">
        <v>353</v>
      </c>
      <c r="H20" s="628" t="s">
        <v>343</v>
      </c>
      <c r="I20" s="225" t="s">
        <v>397</v>
      </c>
      <c r="J20" s="89"/>
      <c r="K20" s="15"/>
      <c r="L20" s="643" t="s">
        <v>182</v>
      </c>
      <c r="M20" s="653">
        <f>Summary!I15</f>
        <v>0.6863955498209262</v>
      </c>
    </row>
    <row r="21" spans="2:13" ht="18" customHeight="1">
      <c r="B21" s="354" t="s">
        <v>280</v>
      </c>
      <c r="C21" s="394"/>
      <c r="D21" s="394"/>
      <c r="E21" s="394"/>
      <c r="F21" s="394"/>
      <c r="G21" s="394"/>
      <c r="H21" s="629"/>
      <c r="I21" s="211"/>
      <c r="J21" s="38"/>
      <c r="K21" s="15"/>
      <c r="L21" s="643" t="s">
        <v>317</v>
      </c>
      <c r="M21" s="654">
        <f>Summary!I16</f>
        <v>1.9272538531630068</v>
      </c>
    </row>
    <row r="22" spans="2:13" ht="12">
      <c r="B22" s="354" t="s">
        <v>152</v>
      </c>
      <c r="C22" s="210"/>
      <c r="D22" s="302">
        <v>0</v>
      </c>
      <c r="E22" s="302">
        <v>20</v>
      </c>
      <c r="F22" s="302">
        <v>0</v>
      </c>
      <c r="G22" s="302">
        <v>0</v>
      </c>
      <c r="H22" s="311"/>
      <c r="I22" s="212"/>
      <c r="J22" s="38"/>
      <c r="K22" s="15"/>
      <c r="L22" s="643" t="s">
        <v>181</v>
      </c>
      <c r="M22" s="657">
        <f>Summary!I17</f>
        <v>190.268675232628</v>
      </c>
    </row>
    <row r="23" spans="2:13" ht="12">
      <c r="B23" s="354" t="s">
        <v>282</v>
      </c>
      <c r="C23" s="210"/>
      <c r="D23" s="336">
        <v>0.6</v>
      </c>
      <c r="E23" s="336">
        <v>0.8</v>
      </c>
      <c r="F23" s="336">
        <v>0.243</v>
      </c>
      <c r="G23" s="336">
        <v>0.26</v>
      </c>
      <c r="H23" s="325">
        <f>G7*((D22*D23)+(E22*E23)+(F22*F23)+(G22*G23))</f>
        <v>4160</v>
      </c>
      <c r="I23" s="244">
        <f>H23/G7</f>
        <v>16</v>
      </c>
      <c r="J23" s="53"/>
      <c r="K23" s="15"/>
      <c r="L23" s="643" t="s">
        <v>288</v>
      </c>
      <c r="M23" s="657">
        <f>Summary!I18</f>
        <v>1089.2853055034784</v>
      </c>
    </row>
    <row r="24" spans="2:13" ht="13.5" customHeight="1">
      <c r="B24" s="305"/>
      <c r="C24" s="210"/>
      <c r="D24" s="210"/>
      <c r="E24" s="210"/>
      <c r="F24" s="254"/>
      <c r="G24" s="210"/>
      <c r="H24" s="311"/>
      <c r="I24" s="212"/>
      <c r="J24" s="38"/>
      <c r="K24" s="15"/>
      <c r="L24" s="648"/>
      <c r="M24" s="661"/>
    </row>
    <row r="25" spans="2:13" ht="24">
      <c r="B25" s="305"/>
      <c r="C25" s="169" t="s">
        <v>153</v>
      </c>
      <c r="D25" s="518"/>
      <c r="E25" s="518"/>
      <c r="F25" s="518"/>
      <c r="G25" s="518"/>
      <c r="H25" s="316">
        <v>0</v>
      </c>
      <c r="I25" s="514">
        <f>H25/$G$7</f>
        <v>0</v>
      </c>
      <c r="J25" s="128"/>
      <c r="K25" s="15"/>
      <c r="L25" s="649" t="s">
        <v>101</v>
      </c>
      <c r="M25" s="657">
        <f>Summary!I20</f>
        <v>1843.6518055034785</v>
      </c>
    </row>
    <row r="26" spans="2:13" ht="12">
      <c r="B26" s="305"/>
      <c r="C26" s="169" t="s">
        <v>548</v>
      </c>
      <c r="D26" s="520">
        <v>1</v>
      </c>
      <c r="E26" s="405">
        <f>I16</f>
        <v>497.45625</v>
      </c>
      <c r="F26" s="210" t="s">
        <v>398</v>
      </c>
      <c r="G26" s="210"/>
      <c r="H26" s="311">
        <f>E26*D26</f>
        <v>497.45625</v>
      </c>
      <c r="I26" s="514">
        <f>H26/G7</f>
        <v>1.9132932692307694</v>
      </c>
      <c r="J26" s="128"/>
      <c r="K26" s="15"/>
      <c r="L26" s="649"/>
      <c r="M26" s="657"/>
    </row>
    <row r="27" spans="2:13" ht="12">
      <c r="B27" s="305"/>
      <c r="C27" s="169" t="s">
        <v>549</v>
      </c>
      <c r="D27" s="519">
        <v>0.63</v>
      </c>
      <c r="E27" s="169" t="s">
        <v>384</v>
      </c>
      <c r="F27" s="336">
        <v>15</v>
      </c>
      <c r="G27" s="210" t="s">
        <v>381</v>
      </c>
      <c r="H27" s="311">
        <f>F27*D27*G7</f>
        <v>2457</v>
      </c>
      <c r="I27" s="514">
        <f aca="true" t="shared" si="1" ref="I27:I32">H27/$G$7</f>
        <v>9.45</v>
      </c>
      <c r="J27" s="128"/>
      <c r="K27" s="15"/>
      <c r="L27" s="642" t="s">
        <v>180</v>
      </c>
      <c r="M27" s="657">
        <f>Summary!I22</f>
        <v>2244.5883768000003</v>
      </c>
    </row>
    <row r="28" spans="2:13" ht="12">
      <c r="B28" s="305"/>
      <c r="C28" s="169" t="s">
        <v>358</v>
      </c>
      <c r="D28" s="520">
        <v>15.38</v>
      </c>
      <c r="E28" s="169" t="s">
        <v>112</v>
      </c>
      <c r="F28" s="210"/>
      <c r="G28" s="210"/>
      <c r="H28" s="311">
        <f>G7*D28</f>
        <v>3998.8</v>
      </c>
      <c r="I28" s="514">
        <f t="shared" si="1"/>
        <v>15.38</v>
      </c>
      <c r="J28" s="128"/>
      <c r="K28" s="15"/>
      <c r="L28" s="642"/>
      <c r="M28" s="655"/>
    </row>
    <row r="29" spans="2:13" ht="24.75" thickBot="1">
      <c r="B29" s="305"/>
      <c r="C29" s="169" t="s">
        <v>34</v>
      </c>
      <c r="D29" s="520">
        <v>24</v>
      </c>
      <c r="E29" s="169" t="s">
        <v>112</v>
      </c>
      <c r="F29" s="210"/>
      <c r="G29" s="210"/>
      <c r="H29" s="311">
        <f>G7*D29</f>
        <v>6240</v>
      </c>
      <c r="I29" s="514">
        <f t="shared" si="1"/>
        <v>24</v>
      </c>
      <c r="J29" s="128"/>
      <c r="K29" s="15"/>
      <c r="L29" s="650" t="s">
        <v>99</v>
      </c>
      <c r="M29" s="662">
        <f>Summary!I24</f>
        <v>400.93657129652183</v>
      </c>
    </row>
    <row r="30" spans="2:11" ht="12">
      <c r="B30" s="305"/>
      <c r="C30" s="169" t="s">
        <v>387</v>
      </c>
      <c r="D30" s="336">
        <v>5</v>
      </c>
      <c r="E30" s="169" t="s">
        <v>385</v>
      </c>
      <c r="F30" s="210">
        <f>F11</f>
        <v>250</v>
      </c>
      <c r="G30" s="210" t="s">
        <v>359</v>
      </c>
      <c r="H30" s="311">
        <f>D30*F30</f>
        <v>1250</v>
      </c>
      <c r="I30" s="514">
        <f t="shared" si="1"/>
        <v>4.8076923076923075</v>
      </c>
      <c r="J30" s="128"/>
      <c r="K30" s="15"/>
    </row>
    <row r="31" spans="2:11" ht="12">
      <c r="B31" s="305"/>
      <c r="C31" s="169" t="s">
        <v>598</v>
      </c>
      <c r="D31" s="336">
        <v>25</v>
      </c>
      <c r="E31" s="169" t="s">
        <v>597</v>
      </c>
      <c r="F31" s="337">
        <v>0</v>
      </c>
      <c r="G31" s="210" t="s">
        <v>498</v>
      </c>
      <c r="H31" s="311">
        <f>D31*F31</f>
        <v>0</v>
      </c>
      <c r="I31" s="514">
        <f t="shared" si="1"/>
        <v>0</v>
      </c>
      <c r="J31" s="128"/>
      <c r="K31" s="15"/>
    </row>
    <row r="32" spans="2:11" ht="12">
      <c r="B32" s="305"/>
      <c r="C32" s="282" t="s">
        <v>599</v>
      </c>
      <c r="D32" s="336">
        <v>0</v>
      </c>
      <c r="E32" s="282" t="s">
        <v>600</v>
      </c>
      <c r="F32" s="300">
        <v>0</v>
      </c>
      <c r="G32" s="350" t="s">
        <v>244</v>
      </c>
      <c r="H32" s="365">
        <f>D32*F32</f>
        <v>0</v>
      </c>
      <c r="I32" s="515">
        <f t="shared" si="1"/>
        <v>0</v>
      </c>
      <c r="J32" s="128"/>
      <c r="K32" s="15"/>
    </row>
    <row r="33" spans="2:11" ht="21" customHeight="1">
      <c r="B33" s="305"/>
      <c r="C33" s="210"/>
      <c r="D33" s="210"/>
      <c r="E33" s="210"/>
      <c r="F33" s="210"/>
      <c r="G33" s="254" t="s">
        <v>545</v>
      </c>
      <c r="H33" s="321">
        <f>SUM(H23:H30)</f>
        <v>18603.25625</v>
      </c>
      <c r="I33" s="516">
        <f>SUM(I23:I30)</f>
        <v>71.55098557692308</v>
      </c>
      <c r="J33" s="129"/>
      <c r="K33" s="15"/>
    </row>
    <row r="34" spans="2:11" ht="12">
      <c r="B34" s="354"/>
      <c r="C34" s="210"/>
      <c r="D34" s="210"/>
      <c r="E34" s="210"/>
      <c r="F34" s="210" t="s">
        <v>546</v>
      </c>
      <c r="G34" s="318">
        <v>0.06</v>
      </c>
      <c r="H34" s="311">
        <f>H33*G34/2</f>
        <v>558.0976874999999</v>
      </c>
      <c r="I34" s="212"/>
      <c r="J34" s="38"/>
      <c r="K34" s="15"/>
    </row>
    <row r="35" spans="2:11" ht="18" customHeight="1" thickBot="1">
      <c r="B35" s="511"/>
      <c r="C35" s="186"/>
      <c r="D35" s="186"/>
      <c r="E35" s="186"/>
      <c r="F35" s="186"/>
      <c r="G35" s="517" t="s">
        <v>176</v>
      </c>
      <c r="H35" s="315">
        <f>SUM(H33:H34)</f>
        <v>19161.3539375</v>
      </c>
      <c r="I35" s="289">
        <f>H35/G7</f>
        <v>73.69751514423076</v>
      </c>
      <c r="J35" s="53"/>
      <c r="K35" s="15"/>
    </row>
    <row r="36" spans="2:11" ht="16.5" customHeight="1" thickBot="1">
      <c r="B36" s="7"/>
      <c r="C36" s="38"/>
      <c r="D36" s="38"/>
      <c r="E36" s="38"/>
      <c r="F36" s="38"/>
      <c r="G36" s="728"/>
      <c r="H36" s="52"/>
      <c r="I36" s="53"/>
      <c r="J36" s="53"/>
      <c r="K36" s="15"/>
    </row>
    <row r="37" spans="2:11" ht="12">
      <c r="B37" s="513" t="s">
        <v>285</v>
      </c>
      <c r="C37" s="307"/>
      <c r="D37" s="307"/>
      <c r="E37" s="307"/>
      <c r="F37" s="307"/>
      <c r="G37" s="307"/>
      <c r="H37" s="630"/>
      <c r="I37" s="521"/>
      <c r="J37" s="38"/>
      <c r="K37" s="15"/>
    </row>
    <row r="38" spans="2:11" ht="12">
      <c r="B38" s="522" t="s">
        <v>120</v>
      </c>
      <c r="C38" s="210"/>
      <c r="D38" s="250" t="s">
        <v>403</v>
      </c>
      <c r="E38" s="250" t="s">
        <v>336</v>
      </c>
      <c r="F38" s="250" t="s">
        <v>401</v>
      </c>
      <c r="G38" s="250" t="s">
        <v>399</v>
      </c>
      <c r="H38" s="332" t="s">
        <v>176</v>
      </c>
      <c r="I38" s="406" t="s">
        <v>216</v>
      </c>
      <c r="J38" s="38"/>
      <c r="K38" s="15"/>
    </row>
    <row r="39" spans="2:10" ht="12">
      <c r="B39" s="305"/>
      <c r="C39" s="254"/>
      <c r="D39" s="250" t="s">
        <v>404</v>
      </c>
      <c r="E39" s="250" t="s">
        <v>402</v>
      </c>
      <c r="F39" s="250" t="s">
        <v>400</v>
      </c>
      <c r="G39" s="250" t="s">
        <v>400</v>
      </c>
      <c r="H39" s="332" t="s">
        <v>216</v>
      </c>
      <c r="I39" s="406" t="s">
        <v>386</v>
      </c>
      <c r="J39" s="38"/>
    </row>
    <row r="40" spans="2:10" ht="12">
      <c r="B40" s="305"/>
      <c r="C40" s="508" t="s">
        <v>123</v>
      </c>
      <c r="D40" s="316">
        <v>20000</v>
      </c>
      <c r="E40" s="414">
        <v>1</v>
      </c>
      <c r="F40" s="360">
        <v>0.1</v>
      </c>
      <c r="G40" s="318">
        <v>0.035</v>
      </c>
      <c r="H40" s="523">
        <f>(((D40)*(E40))*G40)+(((D40)*(E40))*F40)</f>
        <v>2700</v>
      </c>
      <c r="I40" s="524">
        <f aca="true" t="shared" si="2" ref="I40:I54">H40/$G$7</f>
        <v>10.384615384615385</v>
      </c>
      <c r="J40" s="99"/>
    </row>
    <row r="41" spans="2:10" ht="12">
      <c r="B41" s="305"/>
      <c r="C41" s="508" t="s">
        <v>154</v>
      </c>
      <c r="D41" s="316">
        <v>20000</v>
      </c>
      <c r="E41" s="414">
        <v>1</v>
      </c>
      <c r="F41" s="360">
        <v>0.12</v>
      </c>
      <c r="G41" s="318">
        <v>0.025</v>
      </c>
      <c r="H41" s="311">
        <f aca="true" t="shared" si="3" ref="H41:H51">(((D41)*(E41))*G41)+(((D41)*(E41))*F41)</f>
        <v>2900</v>
      </c>
      <c r="I41" s="231">
        <f t="shared" si="2"/>
        <v>11.153846153846153</v>
      </c>
      <c r="J41" s="99"/>
    </row>
    <row r="42" spans="2:10" ht="12">
      <c r="B42" s="305"/>
      <c r="C42" s="508" t="s">
        <v>155</v>
      </c>
      <c r="D42" s="316">
        <v>0</v>
      </c>
      <c r="E42" s="414">
        <v>0</v>
      </c>
      <c r="F42" s="360">
        <v>0.12</v>
      </c>
      <c r="G42" s="318">
        <v>0.04</v>
      </c>
      <c r="H42" s="311">
        <f t="shared" si="3"/>
        <v>0</v>
      </c>
      <c r="I42" s="231">
        <f t="shared" si="2"/>
        <v>0</v>
      </c>
      <c r="J42" s="99"/>
    </row>
    <row r="43" spans="2:11" ht="12">
      <c r="B43" s="305"/>
      <c r="C43" s="508" t="s">
        <v>156</v>
      </c>
      <c r="D43" s="316">
        <v>0</v>
      </c>
      <c r="E43" s="414">
        <v>0</v>
      </c>
      <c r="F43" s="360">
        <v>0.12</v>
      </c>
      <c r="G43" s="318">
        <v>0.04</v>
      </c>
      <c r="H43" s="311">
        <f t="shared" si="3"/>
        <v>0</v>
      </c>
      <c r="I43" s="231">
        <f t="shared" si="2"/>
        <v>0</v>
      </c>
      <c r="J43" s="99"/>
      <c r="K43" s="15"/>
    </row>
    <row r="44" spans="2:11" ht="12">
      <c r="B44" s="305"/>
      <c r="C44" s="508" t="s">
        <v>124</v>
      </c>
      <c r="D44" s="316">
        <v>0</v>
      </c>
      <c r="E44" s="414">
        <v>0</v>
      </c>
      <c r="F44" s="360">
        <v>0.12</v>
      </c>
      <c r="G44" s="318">
        <v>0.04</v>
      </c>
      <c r="H44" s="311">
        <f t="shared" si="3"/>
        <v>0</v>
      </c>
      <c r="I44" s="231">
        <f t="shared" si="2"/>
        <v>0</v>
      </c>
      <c r="J44" s="99"/>
      <c r="K44" s="15"/>
    </row>
    <row r="45" spans="2:11" ht="12">
      <c r="B45" s="305"/>
      <c r="C45" s="508" t="s">
        <v>125</v>
      </c>
      <c r="D45" s="316">
        <v>500</v>
      </c>
      <c r="E45" s="414">
        <v>1</v>
      </c>
      <c r="F45" s="360">
        <v>0.12</v>
      </c>
      <c r="G45" s="318">
        <v>0.04</v>
      </c>
      <c r="H45" s="311">
        <f t="shared" si="3"/>
        <v>80</v>
      </c>
      <c r="I45" s="231">
        <f t="shared" si="2"/>
        <v>0.3076923076923077</v>
      </c>
      <c r="J45" s="99"/>
      <c r="K45" s="15"/>
    </row>
    <row r="46" spans="2:11" ht="12">
      <c r="B46" s="305"/>
      <c r="C46" s="508" t="s">
        <v>59</v>
      </c>
      <c r="D46" s="316">
        <v>24000</v>
      </c>
      <c r="E46" s="414">
        <v>0.5</v>
      </c>
      <c r="F46" s="360">
        <v>0.2</v>
      </c>
      <c r="G46" s="318">
        <v>0.031</v>
      </c>
      <c r="H46" s="311">
        <f t="shared" si="3"/>
        <v>2772</v>
      </c>
      <c r="I46" s="231">
        <f t="shared" si="2"/>
        <v>10.661538461538461</v>
      </c>
      <c r="J46" s="99"/>
      <c r="K46" s="15"/>
    </row>
    <row r="47" spans="2:11" ht="12">
      <c r="B47" s="305"/>
      <c r="C47" s="508" t="s">
        <v>191</v>
      </c>
      <c r="D47" s="316">
        <v>0</v>
      </c>
      <c r="E47" s="414">
        <v>0</v>
      </c>
      <c r="F47" s="360">
        <v>0.12</v>
      </c>
      <c r="G47" s="318">
        <v>0.031</v>
      </c>
      <c r="H47" s="311">
        <f t="shared" si="3"/>
        <v>0</v>
      </c>
      <c r="I47" s="231">
        <f t="shared" si="2"/>
        <v>0</v>
      </c>
      <c r="J47" s="99"/>
      <c r="K47" s="15"/>
    </row>
    <row r="48" spans="2:11" ht="12">
      <c r="B48" s="305"/>
      <c r="C48" s="508" t="s">
        <v>193</v>
      </c>
      <c r="D48" s="316">
        <v>0</v>
      </c>
      <c r="E48" s="414">
        <v>0</v>
      </c>
      <c r="F48" s="360">
        <v>0.12</v>
      </c>
      <c r="G48" s="318">
        <v>0.031</v>
      </c>
      <c r="H48" s="311">
        <f t="shared" si="3"/>
        <v>0</v>
      </c>
      <c r="I48" s="231">
        <f t="shared" si="2"/>
        <v>0</v>
      </c>
      <c r="J48" s="99"/>
      <c r="K48" s="15"/>
    </row>
    <row r="49" spans="2:11" ht="12">
      <c r="B49" s="305"/>
      <c r="C49" s="508" t="s">
        <v>195</v>
      </c>
      <c r="D49" s="316">
        <v>0</v>
      </c>
      <c r="E49" s="414">
        <v>0</v>
      </c>
      <c r="F49" s="360">
        <v>0.12</v>
      </c>
      <c r="G49" s="318">
        <v>0.04</v>
      </c>
      <c r="H49" s="311">
        <f t="shared" si="3"/>
        <v>0</v>
      </c>
      <c r="I49" s="231">
        <f t="shared" si="2"/>
        <v>0</v>
      </c>
      <c r="J49" s="99"/>
      <c r="K49" s="15"/>
    </row>
    <row r="50" spans="2:11" ht="12">
      <c r="B50" s="305"/>
      <c r="C50" s="508" t="s">
        <v>195</v>
      </c>
      <c r="D50" s="316">
        <v>0</v>
      </c>
      <c r="E50" s="414">
        <v>0</v>
      </c>
      <c r="F50" s="360">
        <v>0.12</v>
      </c>
      <c r="G50" s="318">
        <v>0.04</v>
      </c>
      <c r="H50" s="311">
        <f t="shared" si="3"/>
        <v>0</v>
      </c>
      <c r="I50" s="231">
        <f t="shared" si="2"/>
        <v>0</v>
      </c>
      <c r="J50" s="99"/>
      <c r="K50" s="15"/>
    </row>
    <row r="51" spans="2:11" ht="12">
      <c r="B51" s="305"/>
      <c r="C51" s="337"/>
      <c r="D51" s="316">
        <v>0</v>
      </c>
      <c r="E51" s="414">
        <v>0</v>
      </c>
      <c r="F51" s="360">
        <v>0.12</v>
      </c>
      <c r="G51" s="318">
        <v>0.04</v>
      </c>
      <c r="H51" s="525">
        <f t="shared" si="3"/>
        <v>0</v>
      </c>
      <c r="I51" s="238">
        <f t="shared" si="2"/>
        <v>0</v>
      </c>
      <c r="J51" s="99"/>
      <c r="K51" s="15"/>
    </row>
    <row r="52" spans="2:11" ht="12">
      <c r="B52" s="305"/>
      <c r="C52" s="169" t="s">
        <v>197</v>
      </c>
      <c r="D52" s="414">
        <v>0.06</v>
      </c>
      <c r="E52" s="210"/>
      <c r="F52" s="210"/>
      <c r="G52" s="210"/>
      <c r="H52" s="311">
        <f>(SUM(H40:H51)*D52)/2</f>
        <v>253.56</v>
      </c>
      <c r="I52" s="231">
        <f t="shared" si="2"/>
        <v>0.9752307692307692</v>
      </c>
      <c r="J52" s="99"/>
      <c r="K52" s="15"/>
    </row>
    <row r="53" spans="2:11" ht="12">
      <c r="B53" s="305"/>
      <c r="C53" s="282"/>
      <c r="D53" s="281"/>
      <c r="E53" s="350"/>
      <c r="F53" s="350"/>
      <c r="G53" s="350"/>
      <c r="H53" s="365"/>
      <c r="I53" s="238">
        <f t="shared" si="2"/>
        <v>0</v>
      </c>
      <c r="J53" s="99"/>
      <c r="K53" s="15"/>
    </row>
    <row r="54" spans="2:11" ht="12.75" thickBot="1">
      <c r="B54" s="219"/>
      <c r="C54" s="190" t="s">
        <v>198</v>
      </c>
      <c r="D54" s="315">
        <f>SUM(D40:D51)</f>
        <v>64500</v>
      </c>
      <c r="E54" s="186"/>
      <c r="F54" s="186"/>
      <c r="G54" s="186"/>
      <c r="H54" s="315">
        <f>SUM(H40:H52)</f>
        <v>8705.56</v>
      </c>
      <c r="I54" s="289">
        <f t="shared" si="2"/>
        <v>33.48292307692307</v>
      </c>
      <c r="J54" s="53"/>
      <c r="K54" s="15"/>
    </row>
    <row r="55" spans="2:11" s="23" customFormat="1" ht="13.5">
      <c r="B55" s="501" t="s">
        <v>372</v>
      </c>
      <c r="C55" s="378" t="s">
        <v>557</v>
      </c>
      <c r="D55" s="502"/>
      <c r="E55" s="503"/>
      <c r="F55" s="503"/>
      <c r="G55" s="503"/>
      <c r="H55" s="52"/>
      <c r="I55" s="53"/>
      <c r="J55" s="53"/>
      <c r="K55" s="38"/>
    </row>
    <row r="56" spans="2:11" s="23" customFormat="1" ht="13.5">
      <c r="B56" s="503"/>
      <c r="C56" s="378" t="s">
        <v>371</v>
      </c>
      <c r="D56" s="502"/>
      <c r="E56" s="503"/>
      <c r="F56" s="503"/>
      <c r="G56" s="503"/>
      <c r="H56" s="52"/>
      <c r="I56" s="53"/>
      <c r="J56" s="53"/>
      <c r="K56" s="38"/>
    </row>
    <row r="57" spans="2:11" s="23" customFormat="1" ht="13.5">
      <c r="B57" s="503"/>
      <c r="C57" s="504"/>
      <c r="D57" s="502"/>
      <c r="E57" s="503"/>
      <c r="F57" s="503"/>
      <c r="G57" s="503"/>
      <c r="H57" s="52"/>
      <c r="I57" s="53"/>
      <c r="J57" s="53"/>
      <c r="K57" s="38"/>
    </row>
    <row r="58" spans="2:10" ht="13.5">
      <c r="B58" s="505" t="s">
        <v>264</v>
      </c>
      <c r="D58" s="506"/>
      <c r="E58" s="382"/>
      <c r="F58" s="382"/>
      <c r="G58" s="506"/>
      <c r="H58" s="631"/>
      <c r="J58" s="130"/>
    </row>
    <row r="59" spans="2:11" s="23" customFormat="1" ht="13.5">
      <c r="B59" s="507" t="s">
        <v>543</v>
      </c>
      <c r="D59" s="454"/>
      <c r="E59" s="382"/>
      <c r="F59" s="382"/>
      <c r="G59" s="382"/>
      <c r="H59" s="632"/>
      <c r="I59" s="53"/>
      <c r="J59" s="53"/>
      <c r="K59" s="38"/>
    </row>
    <row r="60" spans="3:11" s="23" customFormat="1" ht="12">
      <c r="C60" s="5"/>
      <c r="E60" s="9"/>
      <c r="F60" s="9"/>
      <c r="G60" s="9"/>
      <c r="H60" s="632"/>
      <c r="I60" s="53"/>
      <c r="J60" s="53"/>
      <c r="K60" s="38"/>
    </row>
    <row r="61" spans="3:11" s="23" customFormat="1" ht="12.75" thickBot="1">
      <c r="C61" s="15"/>
      <c r="E61" s="9"/>
      <c r="F61" s="9"/>
      <c r="G61" s="9"/>
      <c r="H61" s="632"/>
      <c r="I61" s="53"/>
      <c r="J61" s="53"/>
      <c r="K61" s="38"/>
    </row>
    <row r="62" spans="2:11" ht="12">
      <c r="B62" s="526" t="s">
        <v>553</v>
      </c>
      <c r="C62" s="224"/>
      <c r="D62" s="307"/>
      <c r="E62" s="307"/>
      <c r="F62" s="307"/>
      <c r="G62" s="527" t="s">
        <v>221</v>
      </c>
      <c r="H62" s="630"/>
      <c r="I62" s="521"/>
      <c r="J62" s="38"/>
      <c r="K62" s="15"/>
    </row>
    <row r="63" spans="2:11" ht="12">
      <c r="B63" s="305"/>
      <c r="C63" s="210"/>
      <c r="D63" s="164" t="s">
        <v>313</v>
      </c>
      <c r="E63" s="164" t="s">
        <v>237</v>
      </c>
      <c r="F63" s="164" t="s">
        <v>239</v>
      </c>
      <c r="G63" s="164" t="s">
        <v>373</v>
      </c>
      <c r="H63" s="391" t="s">
        <v>216</v>
      </c>
      <c r="I63" s="212" t="s">
        <v>216</v>
      </c>
      <c r="J63" s="65"/>
      <c r="K63" s="15"/>
    </row>
    <row r="64" spans="2:11" ht="12">
      <c r="B64" s="305"/>
      <c r="C64" s="350"/>
      <c r="D64" s="164" t="s">
        <v>236</v>
      </c>
      <c r="E64" s="164" t="s">
        <v>238</v>
      </c>
      <c r="F64" s="164" t="s">
        <v>240</v>
      </c>
      <c r="G64" s="164" t="s">
        <v>241</v>
      </c>
      <c r="H64" s="633" t="s">
        <v>241</v>
      </c>
      <c r="I64" s="528" t="s">
        <v>73</v>
      </c>
      <c r="J64" s="65"/>
      <c r="K64" s="15"/>
    </row>
    <row r="65" spans="2:11" ht="12">
      <c r="B65" s="305"/>
      <c r="C65" s="169" t="s">
        <v>223</v>
      </c>
      <c r="D65" s="481">
        <v>0</v>
      </c>
      <c r="E65" s="481">
        <v>20</v>
      </c>
      <c r="F65" s="481">
        <v>100</v>
      </c>
      <c r="G65" s="338">
        <v>20000</v>
      </c>
      <c r="H65" s="368">
        <f>((D65*G65)/E65)</f>
        <v>0</v>
      </c>
      <c r="I65" s="231">
        <f>H65/$G$7</f>
        <v>0</v>
      </c>
      <c r="J65" s="99"/>
      <c r="K65" s="15"/>
    </row>
    <row r="66" spans="2:11" ht="12">
      <c r="B66" s="305"/>
      <c r="C66" s="169" t="s">
        <v>225</v>
      </c>
      <c r="D66" s="481">
        <v>4</v>
      </c>
      <c r="E66" s="481">
        <v>3</v>
      </c>
      <c r="F66" s="481">
        <v>50</v>
      </c>
      <c r="G66" s="338">
        <v>125</v>
      </c>
      <c r="H66" s="368">
        <f>((D66*G66)/E66)</f>
        <v>166.66666666666666</v>
      </c>
      <c r="I66" s="231">
        <f>H66/$G$7</f>
        <v>0.641025641025641</v>
      </c>
      <c r="J66" s="99"/>
      <c r="K66" s="15"/>
    </row>
    <row r="67" spans="2:11" ht="12">
      <c r="B67" s="305"/>
      <c r="C67" s="169" t="s">
        <v>226</v>
      </c>
      <c r="D67" s="481">
        <v>0</v>
      </c>
      <c r="E67" s="481">
        <v>20</v>
      </c>
      <c r="F67" s="481">
        <v>0</v>
      </c>
      <c r="G67" s="338">
        <v>90000</v>
      </c>
      <c r="H67" s="368">
        <f>((D67*G67)/E67)</f>
        <v>0</v>
      </c>
      <c r="I67" s="231">
        <f>H67/$G$7</f>
        <v>0</v>
      </c>
      <c r="J67" s="99"/>
      <c r="K67" s="15"/>
    </row>
    <row r="68" spans="2:11" ht="12">
      <c r="B68" s="305"/>
      <c r="C68" s="169" t="s">
        <v>228</v>
      </c>
      <c r="D68" s="481">
        <v>0</v>
      </c>
      <c r="E68" s="481">
        <v>20</v>
      </c>
      <c r="F68" s="481">
        <v>0</v>
      </c>
      <c r="G68" s="338">
        <v>0</v>
      </c>
      <c r="H68" s="368">
        <f>((D68*G68)/E68)</f>
        <v>0</v>
      </c>
      <c r="I68" s="231">
        <f>H68/$G$7</f>
        <v>0</v>
      </c>
      <c r="J68" s="99"/>
      <c r="K68" s="15"/>
    </row>
    <row r="69" spans="2:11" ht="12">
      <c r="B69" s="305"/>
      <c r="C69" s="282"/>
      <c r="D69" s="481">
        <v>0</v>
      </c>
      <c r="E69" s="481">
        <v>20</v>
      </c>
      <c r="F69" s="481">
        <v>0</v>
      </c>
      <c r="G69" s="338">
        <v>0</v>
      </c>
      <c r="H69" s="634">
        <f>((D69*G69)/E69)</f>
        <v>0</v>
      </c>
      <c r="I69" s="238">
        <f>H69/$G$7</f>
        <v>0</v>
      </c>
      <c r="J69" s="99"/>
      <c r="K69" s="15"/>
    </row>
    <row r="70" spans="2:11" ht="12">
      <c r="B70" s="305"/>
      <c r="C70" s="169"/>
      <c r="D70" s="164"/>
      <c r="E70" s="164"/>
      <c r="F70" s="164" t="s">
        <v>545</v>
      </c>
      <c r="G70" s="164"/>
      <c r="H70" s="368">
        <f>SUM(H65:H69)</f>
        <v>166.66666666666666</v>
      </c>
      <c r="I70" s="529">
        <f>SUM(I65:I69)</f>
        <v>0.641025641025641</v>
      </c>
      <c r="J70" s="131"/>
      <c r="K70" s="15"/>
    </row>
    <row r="71" spans="2:11" ht="12">
      <c r="B71" s="305"/>
      <c r="C71" s="282" t="s">
        <v>197</v>
      </c>
      <c r="D71" s="269"/>
      <c r="E71" s="414">
        <v>0.06</v>
      </c>
      <c r="F71" s="269"/>
      <c r="G71" s="269"/>
      <c r="H71" s="634">
        <f>E71*H70/2</f>
        <v>4.999999999999999</v>
      </c>
      <c r="I71" s="238">
        <f>H71/G7</f>
        <v>0.01923076923076923</v>
      </c>
      <c r="J71" s="99"/>
      <c r="K71" s="15"/>
    </row>
    <row r="72" spans="2:11" ht="12.75" thickBot="1">
      <c r="B72" s="219"/>
      <c r="C72" s="288"/>
      <c r="D72" s="188"/>
      <c r="E72" s="188"/>
      <c r="F72" s="188"/>
      <c r="G72" s="188"/>
      <c r="H72" s="635">
        <f>SUM(H65:H68)</f>
        <v>166.66666666666666</v>
      </c>
      <c r="I72" s="289">
        <f>SUM(I65:I69)</f>
        <v>0.641025641025641</v>
      </c>
      <c r="J72" s="53"/>
      <c r="K72" s="15"/>
    </row>
    <row r="73" spans="1:11" ht="12">
      <c r="A73" s="23"/>
      <c r="B73" s="7"/>
      <c r="C73" s="38"/>
      <c r="D73" s="38"/>
      <c r="E73" s="38"/>
      <c r="F73" s="38"/>
      <c r="G73" s="38"/>
      <c r="H73" s="66"/>
      <c r="I73" s="38"/>
      <c r="J73" s="38"/>
      <c r="K73" s="15"/>
    </row>
    <row r="74" spans="1:11" ht="12.75" thickBot="1">
      <c r="A74" s="23"/>
      <c r="B74" s="7"/>
      <c r="C74" s="38"/>
      <c r="D74" s="38"/>
      <c r="E74" s="38"/>
      <c r="F74" s="38"/>
      <c r="G74" s="38"/>
      <c r="H74" s="66"/>
      <c r="I74" s="38"/>
      <c r="J74" s="38"/>
      <c r="K74" s="15"/>
    </row>
    <row r="75" spans="2:11" ht="12">
      <c r="B75" s="513" t="s">
        <v>231</v>
      </c>
      <c r="C75" s="530"/>
      <c r="D75" s="492" t="s">
        <v>232</v>
      </c>
      <c r="E75" s="530"/>
      <c r="F75" s="531">
        <f>G7</f>
        <v>260</v>
      </c>
      <c r="G75" s="492" t="s">
        <v>233</v>
      </c>
      <c r="H75" s="636">
        <f>I17</f>
        <v>520</v>
      </c>
      <c r="I75" s="474" t="s">
        <v>234</v>
      </c>
      <c r="J75" s="8"/>
      <c r="K75" s="15"/>
    </row>
    <row r="76" spans="2:11" ht="12">
      <c r="B76" s="253"/>
      <c r="C76" s="161"/>
      <c r="D76" s="254"/>
      <c r="E76" s="161"/>
      <c r="F76" s="532"/>
      <c r="G76" s="254"/>
      <c r="H76" s="325"/>
      <c r="I76" s="406"/>
      <c r="J76" s="8"/>
      <c r="K76" s="15"/>
    </row>
    <row r="77" spans="2:11" ht="12">
      <c r="B77" s="253"/>
      <c r="C77" s="281"/>
      <c r="D77" s="267" t="s">
        <v>176</v>
      </c>
      <c r="E77" s="267" t="s">
        <v>397</v>
      </c>
      <c r="F77" s="267"/>
      <c r="G77" s="267"/>
      <c r="H77" s="392" t="s">
        <v>176</v>
      </c>
      <c r="I77" s="411" t="s">
        <v>397</v>
      </c>
      <c r="J77" s="89"/>
      <c r="K77" s="15"/>
    </row>
    <row r="78" spans="2:11" ht="12">
      <c r="B78" s="305"/>
      <c r="C78" s="169" t="s">
        <v>333</v>
      </c>
      <c r="D78" s="311">
        <f>H23</f>
        <v>4160</v>
      </c>
      <c r="E78" s="313">
        <f aca="true" t="shared" si="4" ref="E78:E83">D78/$F$75</f>
        <v>16</v>
      </c>
      <c r="F78" s="210"/>
      <c r="G78" s="533" t="s">
        <v>334</v>
      </c>
      <c r="H78" s="311">
        <f>H29</f>
        <v>6240</v>
      </c>
      <c r="I78" s="231">
        <f>H78/$F$75</f>
        <v>24</v>
      </c>
      <c r="J78" s="99"/>
      <c r="K78" s="15"/>
    </row>
    <row r="79" spans="2:11" ht="12">
      <c r="B79" s="305"/>
      <c r="C79" s="169" t="s">
        <v>335</v>
      </c>
      <c r="D79" s="311">
        <f>H25</f>
        <v>0</v>
      </c>
      <c r="E79" s="313">
        <f t="shared" si="4"/>
        <v>0</v>
      </c>
      <c r="F79" s="210"/>
      <c r="G79" s="534" t="s">
        <v>195</v>
      </c>
      <c r="H79" s="311">
        <f>H32</f>
        <v>0</v>
      </c>
      <c r="I79" s="231">
        <f>H79/$F$75</f>
        <v>0</v>
      </c>
      <c r="J79" s="99"/>
      <c r="K79" s="15"/>
    </row>
    <row r="80" spans="2:11" ht="12">
      <c r="B80" s="305"/>
      <c r="C80" s="169" t="s">
        <v>337</v>
      </c>
      <c r="D80" s="311">
        <f>H26</f>
        <v>497.45625</v>
      </c>
      <c r="E80" s="313">
        <f t="shared" si="4"/>
        <v>1.9132932692307694</v>
      </c>
      <c r="F80" s="210"/>
      <c r="G80" s="534" t="s">
        <v>338</v>
      </c>
      <c r="H80" s="311">
        <f>H54</f>
        <v>8705.56</v>
      </c>
      <c r="I80" s="231">
        <f>H80/$F$75</f>
        <v>33.48292307692307</v>
      </c>
      <c r="J80" s="99"/>
      <c r="K80" s="15"/>
    </row>
    <row r="81" spans="2:11" ht="12">
      <c r="B81" s="305"/>
      <c r="C81" s="169" t="s">
        <v>339</v>
      </c>
      <c r="D81" s="311">
        <f>H27</f>
        <v>2457</v>
      </c>
      <c r="E81" s="313">
        <f t="shared" si="4"/>
        <v>9.45</v>
      </c>
      <c r="F81" s="210"/>
      <c r="G81" s="534" t="s">
        <v>340</v>
      </c>
      <c r="H81" s="311">
        <f>H72</f>
        <v>166.66666666666666</v>
      </c>
      <c r="I81" s="231">
        <f>H81/$F$75</f>
        <v>0.641025641025641</v>
      </c>
      <c r="J81" s="99"/>
      <c r="K81" s="15"/>
    </row>
    <row r="82" spans="2:11" ht="12">
      <c r="B82" s="305"/>
      <c r="C82" s="169" t="s">
        <v>341</v>
      </c>
      <c r="D82" s="311">
        <f>H28</f>
        <v>3998.8</v>
      </c>
      <c r="E82" s="313">
        <f t="shared" si="4"/>
        <v>15.38</v>
      </c>
      <c r="F82" s="210"/>
      <c r="G82" s="534" t="s">
        <v>291</v>
      </c>
      <c r="H82" s="311">
        <f>'6  Forage Establishment'!J54</f>
        <v>7400.584333333332</v>
      </c>
      <c r="I82" s="727">
        <f>'6  Forage Establishment'!J55</f>
        <v>15.103233333333332</v>
      </c>
      <c r="J82" s="99"/>
      <c r="K82" s="9"/>
    </row>
    <row r="83" spans="2:11" ht="12">
      <c r="B83" s="305"/>
      <c r="C83" s="350" t="s">
        <v>547</v>
      </c>
      <c r="D83" s="421">
        <f>H34+H52+H71</f>
        <v>816.6576874999998</v>
      </c>
      <c r="E83" s="421">
        <f t="shared" si="4"/>
        <v>3.1409911057692304</v>
      </c>
      <c r="F83" s="350"/>
      <c r="G83" s="535" t="s">
        <v>307</v>
      </c>
      <c r="H83" s="536">
        <f>I83*G7</f>
        <v>30968.981270833334</v>
      </c>
      <c r="I83" s="415">
        <f>(SUM(E78:E83))+(SUM((I78:I82)))</f>
        <v>119.11146642628205</v>
      </c>
      <c r="J83" s="53"/>
      <c r="K83" s="15"/>
    </row>
    <row r="84" spans="2:11" ht="20.25" customHeight="1" thickBot="1">
      <c r="B84" s="511"/>
      <c r="C84" s="186"/>
      <c r="D84" s="190" t="s">
        <v>74</v>
      </c>
      <c r="E84" s="186"/>
      <c r="F84" s="186"/>
      <c r="G84" s="186"/>
      <c r="H84" s="315">
        <f>H83/H75</f>
        <v>59.555733213141025</v>
      </c>
      <c r="I84" s="345"/>
      <c r="J84" s="38"/>
      <c r="K84" s="15"/>
    </row>
    <row r="85" spans="2:11" ht="12">
      <c r="B85" s="15"/>
      <c r="C85" s="15"/>
      <c r="D85" s="15"/>
      <c r="E85" s="15"/>
      <c r="F85" s="15"/>
      <c r="G85" s="15"/>
      <c r="H85" s="46"/>
      <c r="I85" s="15"/>
      <c r="J85" s="38"/>
      <c r="K85" s="15"/>
    </row>
    <row r="86" spans="2:11" ht="12">
      <c r="B86" s="15"/>
      <c r="C86" s="15"/>
      <c r="D86" s="15"/>
      <c r="E86" s="15"/>
      <c r="F86" s="15"/>
      <c r="G86" s="15"/>
      <c r="H86" s="46"/>
      <c r="I86" s="15"/>
      <c r="J86" s="38"/>
      <c r="K86" s="15"/>
    </row>
  </sheetData>
  <sheetProtection sheet="1" objects="1" scenarios="1" selectLockedCells="1"/>
  <mergeCells count="1">
    <mergeCell ref="B5:I5"/>
  </mergeCells>
  <hyperlinks>
    <hyperlink ref="B59" r:id="rId1" display="http://www.agriculture.gov.sk.ca/Default.aspx?DN=f4b84942-e058-4b5f-92eb-b4f5435bc9d6"/>
  </hyperlinks>
  <printOptions/>
  <pageMargins left="0.64" right="0.5800000000000001" top="0.59" bottom="0.59" header="0.5" footer="0.5"/>
  <pageSetup horizontalDpi="600" verticalDpi="600" orientation="portrait"/>
  <drawing r:id="rId2"/>
</worksheet>
</file>

<file path=xl/worksheets/sheet9.xml><?xml version="1.0" encoding="utf-8"?>
<worksheet xmlns="http://schemas.openxmlformats.org/spreadsheetml/2006/main" xmlns:r="http://schemas.openxmlformats.org/officeDocument/2006/relationships">
  <sheetPr codeName="Sheet9"/>
  <dimension ref="A2:U106"/>
  <sheetViews>
    <sheetView defaultGridColor="0" zoomScalePageLayoutView="0" colorId="55" workbookViewId="0" topLeftCell="A1">
      <selection activeCell="D8" sqref="D8"/>
    </sheetView>
  </sheetViews>
  <sheetFormatPr defaultColWidth="9.00390625" defaultRowHeight="12.75"/>
  <cols>
    <col min="1" max="1" width="2.375" style="9" customWidth="1"/>
    <col min="2" max="5" width="9.00390625" style="5" customWidth="1"/>
    <col min="6" max="6" width="9.125" style="5" customWidth="1"/>
    <col min="7" max="7" width="9.00390625" style="5" customWidth="1"/>
    <col min="8" max="8" width="7.125" style="5" customWidth="1"/>
    <col min="9" max="9" width="7.875" style="5" customWidth="1"/>
    <col min="10" max="10" width="8.375" style="5" customWidth="1"/>
    <col min="11" max="11" width="8.625" style="19" customWidth="1"/>
    <col min="12" max="12" width="7.625" style="5" customWidth="1"/>
    <col min="13" max="13" width="35.625" style="9" customWidth="1"/>
    <col min="14" max="16384" width="9.00390625" style="9" customWidth="1"/>
  </cols>
  <sheetData>
    <row r="1" ht="15" customHeight="1"/>
    <row r="2" spans="4:21" ht="31.5" customHeight="1">
      <c r="D2" s="11"/>
      <c r="G2" s="19"/>
      <c r="H2" s="19"/>
      <c r="I2" s="137"/>
      <c r="J2" s="137"/>
      <c r="K2" s="41"/>
      <c r="L2" s="97"/>
      <c r="M2" s="68"/>
      <c r="N2" s="97"/>
      <c r="O2" s="61"/>
      <c r="P2" s="5"/>
      <c r="Q2" s="47"/>
      <c r="R2" s="47"/>
      <c r="S2" s="47"/>
      <c r="T2" s="47"/>
      <c r="U2" s="47"/>
    </row>
    <row r="3" ht="15" customHeight="1"/>
    <row r="4" ht="15" customHeight="1"/>
    <row r="5" spans="1:10" ht="15" customHeight="1">
      <c r="A5" s="812"/>
      <c r="B5" s="813"/>
      <c r="C5" s="813"/>
      <c r="D5" s="813"/>
      <c r="E5" s="813"/>
      <c r="F5" s="813"/>
      <c r="G5" s="813"/>
      <c r="H5" s="813"/>
      <c r="I5" s="813"/>
      <c r="J5" s="813"/>
    </row>
    <row r="6" spans="2:13" s="666" customFormat="1" ht="15" customHeight="1" thickBot="1">
      <c r="B6" s="735" t="s">
        <v>568</v>
      </c>
      <c r="C6" s="707"/>
      <c r="D6" s="707"/>
      <c r="E6" s="707"/>
      <c r="F6" s="707"/>
      <c r="G6" s="707"/>
      <c r="H6" s="707"/>
      <c r="I6" s="707"/>
      <c r="J6" s="707"/>
      <c r="K6" s="738"/>
      <c r="L6" s="707"/>
      <c r="M6" s="668" t="s">
        <v>173</v>
      </c>
    </row>
    <row r="7" spans="2:14" ht="24" customHeight="1">
      <c r="B7" s="539"/>
      <c r="C7" s="347"/>
      <c r="D7" s="307"/>
      <c r="E7" s="347"/>
      <c r="F7" s="739">
        <f>'1 Inputs'!D10</f>
        <v>230</v>
      </c>
      <c r="G7" s="224" t="s">
        <v>171</v>
      </c>
      <c r="H7" s="347"/>
      <c r="I7" s="347"/>
      <c r="J7" s="347"/>
      <c r="K7" s="540"/>
      <c r="M7" s="641"/>
      <c r="N7" s="652" t="str">
        <f>Summary!I2</f>
        <v>Cost/day</v>
      </c>
    </row>
    <row r="8" spans="2:14" ht="12">
      <c r="B8" s="253" t="s">
        <v>157</v>
      </c>
      <c r="C8" s="210"/>
      <c r="D8" s="544">
        <v>14456</v>
      </c>
      <c r="E8" s="169" t="s">
        <v>606</v>
      </c>
      <c r="F8" s="210"/>
      <c r="G8" s="544">
        <v>3</v>
      </c>
      <c r="H8" s="210"/>
      <c r="I8" s="169"/>
      <c r="J8" s="250" t="s">
        <v>246</v>
      </c>
      <c r="K8" s="406" t="s">
        <v>176</v>
      </c>
      <c r="M8" s="642" t="s">
        <v>130</v>
      </c>
      <c r="N8" s="651"/>
    </row>
    <row r="9" spans="2:14" ht="12">
      <c r="B9" s="354" t="s">
        <v>108</v>
      </c>
      <c r="C9" s="169" t="s">
        <v>109</v>
      </c>
      <c r="D9" s="545">
        <v>3750</v>
      </c>
      <c r="E9" s="169" t="s">
        <v>605</v>
      </c>
      <c r="F9" s="210"/>
      <c r="G9" s="201">
        <f>(D8/D9)*G8</f>
        <v>11.5648</v>
      </c>
      <c r="H9" s="210"/>
      <c r="I9" s="169" t="s">
        <v>110</v>
      </c>
      <c r="J9" s="336">
        <v>76</v>
      </c>
      <c r="K9" s="310">
        <f>J9*G9</f>
        <v>878.9248</v>
      </c>
      <c r="M9" s="643" t="s">
        <v>91</v>
      </c>
      <c r="N9" s="653">
        <f>Summary!I4</f>
        <v>1.3559155438921406</v>
      </c>
    </row>
    <row r="10" spans="2:14" ht="12">
      <c r="B10" s="354" t="s">
        <v>245</v>
      </c>
      <c r="C10" s="169"/>
      <c r="D10" s="481">
        <v>60</v>
      </c>
      <c r="E10" s="169" t="s">
        <v>604</v>
      </c>
      <c r="F10" s="210"/>
      <c r="G10" s="201">
        <f>D8/D10</f>
        <v>240.93333333333334</v>
      </c>
      <c r="H10" s="210"/>
      <c r="I10" s="169" t="s">
        <v>133</v>
      </c>
      <c r="J10" s="336">
        <v>2.69</v>
      </c>
      <c r="K10" s="310">
        <f>J10*G10</f>
        <v>648.1106666666667</v>
      </c>
      <c r="M10" s="643" t="s">
        <v>314</v>
      </c>
      <c r="N10" s="653">
        <f>Summary!I5</f>
        <v>1.4580182043855454</v>
      </c>
    </row>
    <row r="11" spans="2:14" ht="12">
      <c r="B11" s="541" t="s">
        <v>135</v>
      </c>
      <c r="C11" s="234" t="s">
        <v>313</v>
      </c>
      <c r="D11" s="481">
        <v>8</v>
      </c>
      <c r="E11" s="282" t="s">
        <v>137</v>
      </c>
      <c r="F11" s="292">
        <v>2</v>
      </c>
      <c r="G11" s="269">
        <f>D11*F11</f>
        <v>16</v>
      </c>
      <c r="H11" s="350"/>
      <c r="I11" s="282" t="s">
        <v>133</v>
      </c>
      <c r="J11" s="336">
        <v>3.18</v>
      </c>
      <c r="K11" s="366">
        <f>G11*J11</f>
        <v>50.88</v>
      </c>
      <c r="L11" s="22"/>
      <c r="M11" s="643" t="s">
        <v>56</v>
      </c>
      <c r="N11" s="654">
        <f>Summary!I6</f>
        <v>1.7061756496952287</v>
      </c>
    </row>
    <row r="12" spans="2:14" ht="12">
      <c r="B12" s="354" t="s">
        <v>304</v>
      </c>
      <c r="C12" s="210"/>
      <c r="D12" s="210"/>
      <c r="E12" s="229" t="s">
        <v>305</v>
      </c>
      <c r="F12" s="481">
        <v>1</v>
      </c>
      <c r="G12" s="164"/>
      <c r="H12" s="201"/>
      <c r="I12" s="210"/>
      <c r="J12" s="210"/>
      <c r="K12" s="310"/>
      <c r="M12" s="644" t="s">
        <v>176</v>
      </c>
      <c r="N12" s="655"/>
    </row>
    <row r="13" spans="2:14" ht="12">
      <c r="B13" s="354" t="s">
        <v>308</v>
      </c>
      <c r="C13" s="210"/>
      <c r="D13" s="169" t="s">
        <v>244</v>
      </c>
      <c r="E13" s="210"/>
      <c r="F13" s="201">
        <f>G10*F12</f>
        <v>240.93333333333334</v>
      </c>
      <c r="G13" s="210"/>
      <c r="H13" s="210"/>
      <c r="I13" s="169" t="s">
        <v>309</v>
      </c>
      <c r="J13" s="336">
        <v>0.34</v>
      </c>
      <c r="K13" s="310">
        <f>J13*F13</f>
        <v>81.91733333333335</v>
      </c>
      <c r="M13" s="643" t="s">
        <v>55</v>
      </c>
      <c r="N13" s="656">
        <f>Summary!I8</f>
        <v>1.3559155438921406</v>
      </c>
    </row>
    <row r="14" spans="2:14" ht="12">
      <c r="B14" s="354" t="s">
        <v>311</v>
      </c>
      <c r="C14" s="210"/>
      <c r="D14" s="169" t="s">
        <v>244</v>
      </c>
      <c r="E14" s="210"/>
      <c r="F14" s="201">
        <f>D11*F12</f>
        <v>8</v>
      </c>
      <c r="G14" s="210"/>
      <c r="H14" s="210"/>
      <c r="I14" s="169" t="s">
        <v>309</v>
      </c>
      <c r="J14" s="336">
        <v>0.71</v>
      </c>
      <c r="K14" s="310">
        <f>J14*F14</f>
        <v>5.68</v>
      </c>
      <c r="M14" s="645"/>
      <c r="N14" s="657">
        <f>Summary!I9</f>
        <v>559.2806133740416</v>
      </c>
    </row>
    <row r="15" spans="2:14" ht="12.75" thickBot="1">
      <c r="B15" s="511" t="s">
        <v>312</v>
      </c>
      <c r="C15" s="186"/>
      <c r="D15" s="288" t="s">
        <v>244</v>
      </c>
      <c r="E15" s="186"/>
      <c r="F15" s="215">
        <f>(G8*D11)/2</f>
        <v>12</v>
      </c>
      <c r="G15" s="186"/>
      <c r="H15" s="186"/>
      <c r="I15" s="288" t="s">
        <v>309</v>
      </c>
      <c r="J15" s="542">
        <v>3.2</v>
      </c>
      <c r="K15" s="543">
        <f>J15*F15</f>
        <v>38.400000000000006</v>
      </c>
      <c r="M15" s="646" t="s">
        <v>321</v>
      </c>
      <c r="N15" s="658"/>
    </row>
    <row r="16" spans="2:14" ht="12.75" thickBot="1">
      <c r="B16" s="7"/>
      <c r="C16" s="38"/>
      <c r="D16" s="38"/>
      <c r="E16" s="38"/>
      <c r="F16" s="38"/>
      <c r="G16" s="38"/>
      <c r="H16" s="38"/>
      <c r="I16" s="38"/>
      <c r="J16" s="38"/>
      <c r="K16" s="65"/>
      <c r="M16" s="647" t="s">
        <v>298</v>
      </c>
      <c r="N16" s="659"/>
    </row>
    <row r="17" spans="2:14" ht="12">
      <c r="B17" s="513" t="s">
        <v>158</v>
      </c>
      <c r="C17" s="307"/>
      <c r="D17" s="551">
        <f>J80</f>
        <v>7228</v>
      </c>
      <c r="E17" s="546" t="s">
        <v>606</v>
      </c>
      <c r="F17" s="307"/>
      <c r="G17" s="551">
        <v>1</v>
      </c>
      <c r="H17" s="307"/>
      <c r="I17" s="546"/>
      <c r="J17" s="223" t="s">
        <v>246</v>
      </c>
      <c r="K17" s="547" t="s">
        <v>176</v>
      </c>
      <c r="M17" s="643" t="s">
        <v>96</v>
      </c>
      <c r="N17" s="653">
        <f>Summary!I12</f>
        <v>1.4966344356687609</v>
      </c>
    </row>
    <row r="18" spans="2:14" ht="12">
      <c r="B18" s="548" t="s">
        <v>108</v>
      </c>
      <c r="C18" s="549" t="s">
        <v>109</v>
      </c>
      <c r="D18" s="545">
        <v>3750</v>
      </c>
      <c r="E18" s="549" t="s">
        <v>242</v>
      </c>
      <c r="F18" s="394"/>
      <c r="G18" s="550">
        <f>(D17/D18)*G17</f>
        <v>1.9274666666666667</v>
      </c>
      <c r="H18" s="394"/>
      <c r="I18" s="549" t="s">
        <v>110</v>
      </c>
      <c r="J18" s="336">
        <v>62.95</v>
      </c>
      <c r="K18" s="489">
        <f>J18*G18</f>
        <v>121.33402666666667</v>
      </c>
      <c r="M18" s="644" t="s">
        <v>176</v>
      </c>
      <c r="N18" s="657">
        <f>Summary!I13</f>
        <v>339.73601689680874</v>
      </c>
    </row>
    <row r="19" spans="2:14" ht="12">
      <c r="B19" s="354" t="s">
        <v>245</v>
      </c>
      <c r="C19" s="169"/>
      <c r="D19" s="545">
        <v>80</v>
      </c>
      <c r="E19" s="169" t="s">
        <v>243</v>
      </c>
      <c r="F19" s="210"/>
      <c r="G19" s="201">
        <f>D17/D19</f>
        <v>90.35</v>
      </c>
      <c r="H19" s="210"/>
      <c r="I19" s="169" t="s">
        <v>133</v>
      </c>
      <c r="J19" s="336">
        <v>1.69</v>
      </c>
      <c r="K19" s="310">
        <f>J19*G19</f>
        <v>152.6915</v>
      </c>
      <c r="M19" s="647" t="s">
        <v>299</v>
      </c>
      <c r="N19" s="660"/>
    </row>
    <row r="20" spans="2:14" ht="12">
      <c r="B20" s="541" t="s">
        <v>135</v>
      </c>
      <c r="C20" s="282" t="s">
        <v>313</v>
      </c>
      <c r="D20" s="545">
        <v>22</v>
      </c>
      <c r="E20" s="282" t="s">
        <v>137</v>
      </c>
      <c r="F20" s="292">
        <v>2</v>
      </c>
      <c r="G20" s="269">
        <f>F20*D20</f>
        <v>44</v>
      </c>
      <c r="H20" s="350"/>
      <c r="I20" s="282" t="s">
        <v>133</v>
      </c>
      <c r="J20" s="336">
        <v>3.18</v>
      </c>
      <c r="K20" s="366">
        <f>(J20*F20)*D20</f>
        <v>139.92000000000002</v>
      </c>
      <c r="M20" s="643" t="s">
        <v>182</v>
      </c>
      <c r="N20" s="653">
        <f>Summary!I15</f>
        <v>0.6863955498209262</v>
      </c>
    </row>
    <row r="21" spans="2:14" ht="12">
      <c r="B21" s="354" t="s">
        <v>304</v>
      </c>
      <c r="C21" s="210"/>
      <c r="D21" s="210"/>
      <c r="E21" s="229" t="s">
        <v>305</v>
      </c>
      <c r="F21" s="481">
        <v>1</v>
      </c>
      <c r="G21" s="210"/>
      <c r="H21" s="201"/>
      <c r="I21" s="210"/>
      <c r="J21" s="210"/>
      <c r="K21" s="310"/>
      <c r="M21" s="643" t="s">
        <v>317</v>
      </c>
      <c r="N21" s="654">
        <f>Summary!I16</f>
        <v>1.9272538531630068</v>
      </c>
    </row>
    <row r="22" spans="2:14" ht="12">
      <c r="B22" s="354" t="s">
        <v>283</v>
      </c>
      <c r="C22" s="210"/>
      <c r="D22" s="169" t="s">
        <v>244</v>
      </c>
      <c r="E22" s="210"/>
      <c r="F22" s="201">
        <f>G19*G17</f>
        <v>90.35</v>
      </c>
      <c r="G22" s="210"/>
      <c r="H22" s="210"/>
      <c r="I22" s="169" t="s">
        <v>309</v>
      </c>
      <c r="J22" s="336">
        <v>0.37</v>
      </c>
      <c r="K22" s="310">
        <f>J22*F22</f>
        <v>33.4295</v>
      </c>
      <c r="M22" s="643" t="s">
        <v>181</v>
      </c>
      <c r="N22" s="657">
        <f>Summary!I17</f>
        <v>190.268675232628</v>
      </c>
    </row>
    <row r="23" spans="2:14" ht="12">
      <c r="B23" s="354" t="s">
        <v>311</v>
      </c>
      <c r="C23" s="210"/>
      <c r="D23" s="169" t="s">
        <v>244</v>
      </c>
      <c r="E23" s="210"/>
      <c r="F23" s="201">
        <f>D20</f>
        <v>22</v>
      </c>
      <c r="G23" s="210"/>
      <c r="H23" s="210"/>
      <c r="I23" s="169" t="s">
        <v>309</v>
      </c>
      <c r="J23" s="336">
        <v>0.67</v>
      </c>
      <c r="K23" s="310">
        <f>J23*F23</f>
        <v>14.74</v>
      </c>
      <c r="M23" s="643" t="s">
        <v>288</v>
      </c>
      <c r="N23" s="657">
        <f>Summary!I18</f>
        <v>1089.2853055034784</v>
      </c>
    </row>
    <row r="24" spans="2:14" ht="12.75" thickBot="1">
      <c r="B24" s="511" t="s">
        <v>312</v>
      </c>
      <c r="C24" s="186"/>
      <c r="D24" s="288" t="s">
        <v>244</v>
      </c>
      <c r="E24" s="186"/>
      <c r="F24" s="215">
        <f>F23/2</f>
        <v>11</v>
      </c>
      <c r="G24" s="186"/>
      <c r="H24" s="186"/>
      <c r="I24" s="288" t="s">
        <v>309</v>
      </c>
      <c r="J24" s="552">
        <v>2.73</v>
      </c>
      <c r="K24" s="543">
        <f>J24*F24</f>
        <v>30.03</v>
      </c>
      <c r="M24" s="648"/>
      <c r="N24" s="661"/>
    </row>
    <row r="25" spans="2:14" ht="24.75" thickBot="1">
      <c r="B25" s="7"/>
      <c r="C25" s="38"/>
      <c r="D25" s="38"/>
      <c r="E25" s="38"/>
      <c r="F25" s="38"/>
      <c r="G25" s="38"/>
      <c r="H25" s="38"/>
      <c r="I25" s="38"/>
      <c r="J25" s="38"/>
      <c r="K25" s="65"/>
      <c r="M25" s="649" t="s">
        <v>101</v>
      </c>
      <c r="N25" s="657">
        <f>Summary!I20</f>
        <v>1843.6518055034785</v>
      </c>
    </row>
    <row r="26" spans="2:14" ht="12">
      <c r="B26" s="513" t="s">
        <v>247</v>
      </c>
      <c r="C26" s="307"/>
      <c r="D26" s="554">
        <f>J82</f>
        <v>4816</v>
      </c>
      <c r="E26" s="546" t="s">
        <v>606</v>
      </c>
      <c r="F26" s="307"/>
      <c r="G26" s="555">
        <v>3</v>
      </c>
      <c r="H26" s="546" t="s">
        <v>106</v>
      </c>
      <c r="I26" s="307"/>
      <c r="J26" s="223" t="s">
        <v>246</v>
      </c>
      <c r="K26" s="547" t="s">
        <v>176</v>
      </c>
      <c r="M26" s="649"/>
      <c r="N26" s="657"/>
    </row>
    <row r="27" spans="2:14" ht="12">
      <c r="B27" s="548" t="s">
        <v>108</v>
      </c>
      <c r="C27" s="549" t="s">
        <v>109</v>
      </c>
      <c r="D27" s="337">
        <v>3750</v>
      </c>
      <c r="E27" s="549" t="s">
        <v>242</v>
      </c>
      <c r="F27" s="549"/>
      <c r="G27" s="550">
        <f>(D26/D27)*G26</f>
        <v>3.8528000000000002</v>
      </c>
      <c r="H27" s="394"/>
      <c r="I27" s="549" t="s">
        <v>110</v>
      </c>
      <c r="J27" s="520">
        <v>62.95</v>
      </c>
      <c r="K27" s="489">
        <f>J27*G27</f>
        <v>242.53376000000003</v>
      </c>
      <c r="M27" s="642" t="s">
        <v>180</v>
      </c>
      <c r="N27" s="657">
        <f>Summary!I22</f>
        <v>2244.5883768000003</v>
      </c>
    </row>
    <row r="28" spans="2:14" ht="12">
      <c r="B28" s="354" t="s">
        <v>131</v>
      </c>
      <c r="C28" s="169" t="s">
        <v>132</v>
      </c>
      <c r="D28" s="337">
        <v>30</v>
      </c>
      <c r="E28" s="169" t="s">
        <v>243</v>
      </c>
      <c r="F28" s="169"/>
      <c r="G28" s="201">
        <f>D26/D28</f>
        <v>160.53333333333333</v>
      </c>
      <c r="H28" s="210"/>
      <c r="I28" s="169" t="s">
        <v>133</v>
      </c>
      <c r="J28" s="520">
        <v>2.69</v>
      </c>
      <c r="K28" s="310">
        <f>J28*G28</f>
        <v>431.83466666666664</v>
      </c>
      <c r="M28" s="642"/>
      <c r="N28" s="655"/>
    </row>
    <row r="29" spans="2:14" ht="24.75" thickBot="1">
      <c r="B29" s="354" t="s">
        <v>135</v>
      </c>
      <c r="C29" s="169" t="s">
        <v>136</v>
      </c>
      <c r="D29" s="337">
        <v>12</v>
      </c>
      <c r="E29" s="169" t="s">
        <v>137</v>
      </c>
      <c r="F29" s="292">
        <v>2</v>
      </c>
      <c r="G29" s="210"/>
      <c r="H29" s="210"/>
      <c r="I29" s="169" t="s">
        <v>133</v>
      </c>
      <c r="J29" s="520">
        <v>3.18</v>
      </c>
      <c r="K29" s="310">
        <f>(J29*F29)*D29</f>
        <v>76.32000000000001</v>
      </c>
      <c r="M29" s="650" t="s">
        <v>99</v>
      </c>
      <c r="N29" s="662">
        <f>Summary!I24</f>
        <v>400.93657129652183</v>
      </c>
    </row>
    <row r="30" spans="2:11" ht="12">
      <c r="B30" s="541" t="s">
        <v>304</v>
      </c>
      <c r="C30" s="350"/>
      <c r="D30" s="350"/>
      <c r="E30" s="234" t="s">
        <v>159</v>
      </c>
      <c r="F30" s="481">
        <v>3</v>
      </c>
      <c r="G30" s="350"/>
      <c r="H30" s="350"/>
      <c r="I30" s="350"/>
      <c r="J30" s="210"/>
      <c r="K30" s="366"/>
    </row>
    <row r="31" spans="2:11" ht="12">
      <c r="B31" s="305"/>
      <c r="C31" s="169" t="s">
        <v>122</v>
      </c>
      <c r="D31" s="169" t="s">
        <v>244</v>
      </c>
      <c r="E31" s="210"/>
      <c r="F31" s="201">
        <f>F30*G28</f>
        <v>481.6</v>
      </c>
      <c r="G31" s="210"/>
      <c r="H31" s="210"/>
      <c r="I31" s="169" t="s">
        <v>309</v>
      </c>
      <c r="J31" s="520">
        <v>0.37</v>
      </c>
      <c r="K31" s="310">
        <f>J31*F31</f>
        <v>178.192</v>
      </c>
    </row>
    <row r="32" spans="2:11" ht="12">
      <c r="B32" s="305"/>
      <c r="C32" s="169" t="s">
        <v>160</v>
      </c>
      <c r="D32" s="169" t="s">
        <v>244</v>
      </c>
      <c r="E32" s="210"/>
      <c r="F32" s="201">
        <f>F30*D29</f>
        <v>36</v>
      </c>
      <c r="G32" s="210"/>
      <c r="H32" s="210"/>
      <c r="I32" s="169" t="s">
        <v>309</v>
      </c>
      <c r="J32" s="520">
        <v>0.67</v>
      </c>
      <c r="K32" s="310">
        <f>J32*F32</f>
        <v>24.12</v>
      </c>
    </row>
    <row r="33" spans="2:11" ht="12.75" thickBot="1">
      <c r="B33" s="511" t="s">
        <v>312</v>
      </c>
      <c r="C33" s="186"/>
      <c r="D33" s="288" t="s">
        <v>244</v>
      </c>
      <c r="E33" s="186"/>
      <c r="F33" s="215">
        <f>F32/2</f>
        <v>18</v>
      </c>
      <c r="G33" s="186"/>
      <c r="H33" s="186"/>
      <c r="I33" s="288" t="s">
        <v>309</v>
      </c>
      <c r="J33" s="553">
        <v>2.73</v>
      </c>
      <c r="K33" s="543">
        <f>J33*F33</f>
        <v>49.14</v>
      </c>
    </row>
    <row r="34" spans="2:12" ht="12.75" thickBot="1">
      <c r="B34" s="7"/>
      <c r="C34" s="38"/>
      <c r="D34" s="38"/>
      <c r="E34" s="38"/>
      <c r="F34" s="38"/>
      <c r="G34" s="38"/>
      <c r="H34" s="38"/>
      <c r="I34" s="38"/>
      <c r="J34" s="38"/>
      <c r="K34" s="65"/>
      <c r="L34" s="6"/>
    </row>
    <row r="35" spans="2:11" ht="12">
      <c r="B35" s="513" t="s">
        <v>161</v>
      </c>
      <c r="C35" s="307"/>
      <c r="D35" s="307"/>
      <c r="E35" s="307"/>
      <c r="F35" s="307"/>
      <c r="G35" s="307"/>
      <c r="H35" s="307"/>
      <c r="I35" s="307"/>
      <c r="J35" s="307"/>
      <c r="K35" s="547" t="s">
        <v>256</v>
      </c>
    </row>
    <row r="36" spans="2:11" ht="12">
      <c r="B36" s="548" t="s">
        <v>409</v>
      </c>
      <c r="C36" s="394"/>
      <c r="D36" s="394"/>
      <c r="E36" s="394"/>
      <c r="F36" s="549" t="s">
        <v>244</v>
      </c>
      <c r="G36" s="481">
        <v>1</v>
      </c>
      <c r="H36" s="394"/>
      <c r="I36" s="549" t="s">
        <v>309</v>
      </c>
      <c r="J36" s="336">
        <v>237</v>
      </c>
      <c r="K36" s="556">
        <f>J36*G36</f>
        <v>237</v>
      </c>
    </row>
    <row r="37" spans="2:11" ht="12">
      <c r="B37" s="354" t="s">
        <v>57</v>
      </c>
      <c r="C37" s="210"/>
      <c r="D37" s="210"/>
      <c r="E37" s="210"/>
      <c r="F37" s="169" t="s">
        <v>244</v>
      </c>
      <c r="G37" s="481">
        <v>0</v>
      </c>
      <c r="H37" s="210"/>
      <c r="I37" s="169" t="s">
        <v>309</v>
      </c>
      <c r="J37" s="336">
        <v>517</v>
      </c>
      <c r="K37" s="557">
        <f>J37*G37</f>
        <v>0</v>
      </c>
    </row>
    <row r="38" spans="2:11" ht="12">
      <c r="B38" s="354" t="s">
        <v>60</v>
      </c>
      <c r="C38" s="210"/>
      <c r="D38" s="210"/>
      <c r="E38" s="210"/>
      <c r="F38" s="169" t="s">
        <v>244</v>
      </c>
      <c r="G38" s="481">
        <v>1</v>
      </c>
      <c r="H38" s="210"/>
      <c r="I38" s="169" t="s">
        <v>309</v>
      </c>
      <c r="J38" s="336">
        <v>60</v>
      </c>
      <c r="K38" s="557">
        <f>J38*G38</f>
        <v>60</v>
      </c>
    </row>
    <row r="39" spans="2:11" ht="12">
      <c r="B39" s="541" t="s">
        <v>192</v>
      </c>
      <c r="C39" s="350"/>
      <c r="D39" s="350"/>
      <c r="E39" s="350"/>
      <c r="F39" s="282" t="s">
        <v>244</v>
      </c>
      <c r="G39" s="481">
        <v>1</v>
      </c>
      <c r="H39" s="350"/>
      <c r="I39" s="282" t="s">
        <v>309</v>
      </c>
      <c r="J39" s="336">
        <v>8.48</v>
      </c>
      <c r="K39" s="558">
        <f>J39*G39</f>
        <v>8.48</v>
      </c>
    </row>
    <row r="40" spans="2:11" ht="12">
      <c r="B40" s="354" t="s">
        <v>194</v>
      </c>
      <c r="C40" s="210"/>
      <c r="D40" s="210"/>
      <c r="E40" s="210"/>
      <c r="F40" s="210"/>
      <c r="G40" s="210"/>
      <c r="H40" s="210"/>
      <c r="I40" s="210"/>
      <c r="J40" s="210"/>
      <c r="K40" s="557"/>
    </row>
    <row r="41" spans="2:11" ht="12">
      <c r="B41" s="354"/>
      <c r="C41" s="169" t="s">
        <v>248</v>
      </c>
      <c r="D41" s="210"/>
      <c r="E41" s="481">
        <v>20</v>
      </c>
      <c r="F41" s="569">
        <v>6</v>
      </c>
      <c r="G41" s="210" t="s">
        <v>249</v>
      </c>
      <c r="H41" s="164"/>
      <c r="I41" s="169"/>
      <c r="J41" s="559"/>
      <c r="K41" s="557"/>
    </row>
    <row r="42" spans="2:11" ht="12">
      <c r="B42" s="305"/>
      <c r="C42" s="169" t="s">
        <v>250</v>
      </c>
      <c r="D42" s="210"/>
      <c r="E42" s="481">
        <v>500</v>
      </c>
      <c r="F42" s="570">
        <v>112.72</v>
      </c>
      <c r="G42" s="169" t="s">
        <v>251</v>
      </c>
      <c r="H42" s="229" t="s">
        <v>196</v>
      </c>
      <c r="I42" s="560">
        <f>F42/E42</f>
        <v>0.22544</v>
      </c>
      <c r="J42" s="210"/>
      <c r="K42" s="557">
        <f>I42*F41*E41</f>
        <v>27.0528</v>
      </c>
    </row>
    <row r="43" spans="2:11" ht="12">
      <c r="B43" s="561" t="s">
        <v>601</v>
      </c>
      <c r="C43" s="282" t="s">
        <v>603</v>
      </c>
      <c r="D43" s="210"/>
      <c r="E43" s="481">
        <f>K86</f>
        <v>12</v>
      </c>
      <c r="F43" s="574">
        <v>4.5</v>
      </c>
      <c r="G43" s="169" t="s">
        <v>602</v>
      </c>
      <c r="H43" s="210"/>
      <c r="I43" s="169"/>
      <c r="J43" s="562"/>
      <c r="K43" s="557">
        <f>F43*E43</f>
        <v>54</v>
      </c>
    </row>
    <row r="44" spans="2:11" ht="12">
      <c r="B44" s="305" t="s">
        <v>255</v>
      </c>
      <c r="C44" s="169"/>
      <c r="D44" s="816" t="s">
        <v>479</v>
      </c>
      <c r="E44" s="816"/>
      <c r="F44" s="816"/>
      <c r="G44" s="816"/>
      <c r="H44" s="816"/>
      <c r="I44" s="816"/>
      <c r="J44" s="816"/>
      <c r="K44" s="571">
        <v>400</v>
      </c>
    </row>
    <row r="45" spans="2:11" ht="12">
      <c r="B45" s="253" t="s">
        <v>162</v>
      </c>
      <c r="C45" s="210"/>
      <c r="D45" s="210" t="s">
        <v>362</v>
      </c>
      <c r="E45" s="336">
        <v>0.34</v>
      </c>
      <c r="F45" s="210" t="s">
        <v>440</v>
      </c>
      <c r="G45" s="300">
        <v>9632</v>
      </c>
      <c r="H45" s="210" t="s">
        <v>408</v>
      </c>
      <c r="I45" s="210"/>
      <c r="J45" s="210"/>
      <c r="K45" s="310">
        <f>(E45*G45)</f>
        <v>3274.88</v>
      </c>
    </row>
    <row r="46" spans="2:11" ht="12">
      <c r="B46" s="253"/>
      <c r="C46" s="210"/>
      <c r="D46" s="210" t="s">
        <v>363</v>
      </c>
      <c r="E46" s="336">
        <v>500</v>
      </c>
      <c r="F46" s="210"/>
      <c r="G46" s="210"/>
      <c r="H46" s="210"/>
      <c r="I46" s="210"/>
      <c r="J46" s="313"/>
      <c r="K46" s="231">
        <f>E46</f>
        <v>500</v>
      </c>
    </row>
    <row r="47" spans="2:11" ht="12">
      <c r="B47" s="253"/>
      <c r="C47" s="816" t="s">
        <v>195</v>
      </c>
      <c r="D47" s="816"/>
      <c r="E47" s="816"/>
      <c r="F47" s="816"/>
      <c r="G47" s="816"/>
      <c r="H47" s="816"/>
      <c r="I47" s="816"/>
      <c r="J47" s="816"/>
      <c r="K47" s="358"/>
    </row>
    <row r="48" spans="2:11" ht="12">
      <c r="B48" s="253" t="s">
        <v>163</v>
      </c>
      <c r="C48" s="563"/>
      <c r="D48" s="195"/>
      <c r="E48" s="195"/>
      <c r="F48" s="195"/>
      <c r="G48" s="195"/>
      <c r="H48" s="195"/>
      <c r="I48" s="195"/>
      <c r="J48" s="564"/>
      <c r="K48" s="358">
        <f>I100</f>
        <v>2369</v>
      </c>
    </row>
    <row r="49" spans="2:11" ht="12">
      <c r="B49" s="565" t="s">
        <v>454</v>
      </c>
      <c r="C49" s="816"/>
      <c r="D49" s="816"/>
      <c r="E49" s="816"/>
      <c r="F49" s="816"/>
      <c r="G49" s="816"/>
      <c r="H49" s="816"/>
      <c r="I49" s="816"/>
      <c r="J49" s="816"/>
      <c r="K49" s="572"/>
    </row>
    <row r="50" spans="2:11" ht="12">
      <c r="B50" s="354"/>
      <c r="C50" s="210"/>
      <c r="D50" s="210"/>
      <c r="E50" s="210"/>
      <c r="F50" s="210"/>
      <c r="G50" s="210"/>
      <c r="H50" s="210"/>
      <c r="I50" s="210"/>
      <c r="J50" s="760" t="s">
        <v>164</v>
      </c>
      <c r="K50" s="252">
        <f>SUM(K9:K49)</f>
        <v>10128.611053333334</v>
      </c>
    </row>
    <row r="51" spans="2:11" ht="12">
      <c r="B51" s="253" t="s">
        <v>453</v>
      </c>
      <c r="C51" s="210"/>
      <c r="D51" s="210"/>
      <c r="E51" s="414">
        <v>0.4</v>
      </c>
      <c r="F51" s="210" t="s">
        <v>452</v>
      </c>
      <c r="G51" s="210"/>
      <c r="H51" s="210"/>
      <c r="I51" s="210"/>
      <c r="J51" s="308"/>
      <c r="K51" s="310">
        <f>K50*E51</f>
        <v>4051.4444213333336</v>
      </c>
    </row>
    <row r="52" spans="2:11" ht="12">
      <c r="B52" s="509"/>
      <c r="C52" s="350"/>
      <c r="D52" s="350"/>
      <c r="E52" s="566"/>
      <c r="F52" s="350"/>
      <c r="G52" s="350"/>
      <c r="H52" s="350"/>
      <c r="I52" s="350"/>
      <c r="J52" s="761" t="s">
        <v>165</v>
      </c>
      <c r="K52" s="375">
        <f>SUM(K50:K51)</f>
        <v>14180.055474666668</v>
      </c>
    </row>
    <row r="53" spans="2:11" ht="12">
      <c r="B53" s="253"/>
      <c r="C53" s="210"/>
      <c r="D53" s="210"/>
      <c r="E53" s="413"/>
      <c r="F53" s="210"/>
      <c r="G53" s="210"/>
      <c r="H53" s="210"/>
      <c r="I53" s="210"/>
      <c r="J53" s="210"/>
      <c r="K53" s="212"/>
    </row>
    <row r="54" spans="2:11" ht="12">
      <c r="B54" s="567" t="s">
        <v>166</v>
      </c>
      <c r="C54" s="210"/>
      <c r="D54" s="210"/>
      <c r="E54" s="177" t="s">
        <v>254</v>
      </c>
      <c r="F54" s="532">
        <f>F31+G28+F29+F23+F22+F20+G19+F11+G10</f>
        <v>1091.7666666666667</v>
      </c>
      <c r="G54" s="161" t="s">
        <v>609</v>
      </c>
      <c r="H54" s="210"/>
      <c r="I54" s="210"/>
      <c r="J54" s="210"/>
      <c r="K54" s="310"/>
    </row>
    <row r="55" spans="2:11" ht="12.75" thickBot="1">
      <c r="B55" s="511"/>
      <c r="C55" s="186"/>
      <c r="D55" s="186"/>
      <c r="E55" s="184" t="s">
        <v>252</v>
      </c>
      <c r="F55" s="568">
        <f>G9+G18+G27</f>
        <v>17.345066666666668</v>
      </c>
      <c r="G55" s="314" t="s">
        <v>253</v>
      </c>
      <c r="H55" s="186"/>
      <c r="I55" s="186"/>
      <c r="J55" s="186"/>
      <c r="K55" s="345"/>
    </row>
    <row r="56" spans="2:11" ht="12.75" thickBot="1">
      <c r="B56" s="7"/>
      <c r="C56" s="38"/>
      <c r="D56" s="38"/>
      <c r="E56" s="132"/>
      <c r="F56" s="133"/>
      <c r="G56" s="72"/>
      <c r="H56" s="38"/>
      <c r="I56" s="38"/>
      <c r="J56" s="38"/>
      <c r="K56" s="65"/>
    </row>
    <row r="57" spans="2:11" ht="15.75" customHeight="1">
      <c r="B57" s="513" t="s">
        <v>222</v>
      </c>
      <c r="C57" s="307"/>
      <c r="D57" s="307"/>
      <c r="E57" s="307"/>
      <c r="F57" s="307"/>
      <c r="G57" s="307"/>
      <c r="H57" s="307"/>
      <c r="I57" s="307"/>
      <c r="J57" s="307"/>
      <c r="K57" s="521"/>
    </row>
    <row r="58" spans="2:11" ht="12">
      <c r="B58" s="509" t="s">
        <v>224</v>
      </c>
      <c r="C58" s="350"/>
      <c r="D58" s="350"/>
      <c r="E58" s="210"/>
      <c r="F58" s="350"/>
      <c r="G58" s="350"/>
      <c r="H58" s="350"/>
      <c r="I58" s="350"/>
      <c r="J58" s="350"/>
      <c r="K58" s="573" t="s">
        <v>272</v>
      </c>
    </row>
    <row r="59" spans="2:11" ht="12">
      <c r="B59" s="354" t="s">
        <v>611</v>
      </c>
      <c r="C59" s="210"/>
      <c r="D59" s="210"/>
      <c r="E59" s="318">
        <v>0.02</v>
      </c>
      <c r="F59" s="210" t="s">
        <v>450</v>
      </c>
      <c r="G59" s="210"/>
      <c r="H59" s="210"/>
      <c r="I59" s="210"/>
      <c r="J59" s="210"/>
      <c r="K59" s="310">
        <f>K52*E59</f>
        <v>283.60110949333335</v>
      </c>
    </row>
    <row r="60" spans="2:11" ht="12">
      <c r="B60" s="354" t="s">
        <v>227</v>
      </c>
      <c r="C60" s="210"/>
      <c r="D60" s="210"/>
      <c r="E60" s="336">
        <v>0.5</v>
      </c>
      <c r="F60" s="210"/>
      <c r="G60" s="210"/>
      <c r="H60" s="210"/>
      <c r="I60" s="210"/>
      <c r="J60" s="210"/>
      <c r="K60" s="310">
        <f>E60*G62</f>
        <v>2.509469696969697</v>
      </c>
    </row>
    <row r="61" spans="2:11" ht="12">
      <c r="B61" s="354" t="s">
        <v>229</v>
      </c>
      <c r="C61" s="210"/>
      <c r="D61" s="210"/>
      <c r="E61" s="360">
        <v>0.06</v>
      </c>
      <c r="F61" s="169" t="s">
        <v>230</v>
      </c>
      <c r="G61" s="210"/>
      <c r="H61" s="210"/>
      <c r="I61" s="210"/>
      <c r="J61" s="210"/>
      <c r="K61" s="310">
        <f>((K59+K60)/2)*E61</f>
        <v>8.583317375709091</v>
      </c>
    </row>
    <row r="62" spans="2:11" ht="12">
      <c r="B62" s="541" t="s">
        <v>374</v>
      </c>
      <c r="C62" s="350"/>
      <c r="D62" s="350"/>
      <c r="E62" s="336">
        <v>16</v>
      </c>
      <c r="F62" s="350" t="s">
        <v>375</v>
      </c>
      <c r="G62" s="268">
        <f>(D8+D17+D26)/5280</f>
        <v>5.018939393939394</v>
      </c>
      <c r="H62" s="350" t="s">
        <v>376</v>
      </c>
      <c r="I62" s="350"/>
      <c r="J62" s="350"/>
      <c r="K62" s="366">
        <f>G62*E62</f>
        <v>80.3030303030303</v>
      </c>
    </row>
    <row r="63" spans="2:11" ht="12">
      <c r="B63" s="253" t="s">
        <v>235</v>
      </c>
      <c r="C63" s="210"/>
      <c r="D63" s="210"/>
      <c r="E63" s="210"/>
      <c r="F63" s="210"/>
      <c r="G63" s="210"/>
      <c r="H63" s="210"/>
      <c r="I63" s="210"/>
      <c r="J63" s="210"/>
      <c r="K63" s="310"/>
    </row>
    <row r="64" spans="2:11" ht="12">
      <c r="B64" s="354" t="s">
        <v>610</v>
      </c>
      <c r="C64" s="210"/>
      <c r="D64" s="210"/>
      <c r="E64" s="318">
        <v>0.04</v>
      </c>
      <c r="F64" s="210"/>
      <c r="G64" s="311"/>
      <c r="H64" s="210"/>
      <c r="I64" s="210"/>
      <c r="J64" s="210"/>
      <c r="K64" s="310">
        <f>E64*K52</f>
        <v>567.2022189866667</v>
      </c>
    </row>
    <row r="65" spans="2:11" ht="12">
      <c r="B65" s="354" t="s">
        <v>170</v>
      </c>
      <c r="C65" s="210"/>
      <c r="D65" s="210"/>
      <c r="E65" s="318">
        <v>0.06</v>
      </c>
      <c r="F65" s="169" t="s">
        <v>336</v>
      </c>
      <c r="G65" s="210"/>
      <c r="H65" s="210"/>
      <c r="I65" s="210"/>
      <c r="J65" s="210"/>
      <c r="K65" s="310">
        <f>(E65*K52)/2</f>
        <v>425.40166424</v>
      </c>
    </row>
    <row r="66" spans="2:11" ht="12">
      <c r="B66" s="541"/>
      <c r="C66" s="350"/>
      <c r="D66" s="350"/>
      <c r="E66" s="350"/>
      <c r="F66" s="350"/>
      <c r="G66" s="350"/>
      <c r="H66" s="350"/>
      <c r="I66" s="350"/>
      <c r="J66" s="350"/>
      <c r="K66" s="528"/>
    </row>
    <row r="67" spans="2:11" ht="12">
      <c r="B67" s="305"/>
      <c r="C67" s="254" t="s">
        <v>167</v>
      </c>
      <c r="D67" s="210"/>
      <c r="E67" s="210"/>
      <c r="F67" s="210"/>
      <c r="G67" s="210"/>
      <c r="H67" s="210"/>
      <c r="I67" s="210"/>
      <c r="J67" s="161"/>
      <c r="K67" s="252">
        <f>SUM(K57:K65)</f>
        <v>1367.6008100957092</v>
      </c>
    </row>
    <row r="68" spans="2:11" ht="12.75" thickBot="1">
      <c r="B68" s="511"/>
      <c r="C68" s="186"/>
      <c r="D68" s="186"/>
      <c r="E68" s="186"/>
      <c r="F68" s="186"/>
      <c r="G68" s="186"/>
      <c r="H68" s="186"/>
      <c r="I68" s="190" t="s">
        <v>514</v>
      </c>
      <c r="J68" s="186"/>
      <c r="K68" s="289">
        <f>K67/F7</f>
        <v>5.946090478676997</v>
      </c>
    </row>
    <row r="69" spans="2:12" s="23" customFormat="1" ht="12">
      <c r="B69" s="7"/>
      <c r="C69" s="38"/>
      <c r="D69" s="38"/>
      <c r="E69" s="38"/>
      <c r="F69" s="38"/>
      <c r="G69" s="38"/>
      <c r="H69" s="38"/>
      <c r="I69" s="8"/>
      <c r="J69" s="38"/>
      <c r="K69" s="93"/>
      <c r="L69" s="6"/>
    </row>
    <row r="70" spans="2:12" s="23" customFormat="1" ht="12">
      <c r="B70" s="7"/>
      <c r="C70" s="38"/>
      <c r="D70" s="38"/>
      <c r="E70" s="38"/>
      <c r="F70" s="38"/>
      <c r="G70" s="38"/>
      <c r="H70" s="38"/>
      <c r="I70" s="8"/>
      <c r="J70" s="38"/>
      <c r="K70" s="93"/>
      <c r="L70" s="6"/>
    </row>
    <row r="71" spans="2:12" s="23" customFormat="1" ht="12">
      <c r="B71" s="75"/>
      <c r="C71" s="76"/>
      <c r="D71" s="76"/>
      <c r="E71" s="76"/>
      <c r="F71" s="76"/>
      <c r="G71" s="76"/>
      <c r="H71" s="76"/>
      <c r="I71" s="77"/>
      <c r="J71" s="76"/>
      <c r="K71" s="135"/>
      <c r="L71" s="6"/>
    </row>
    <row r="72" spans="2:12" s="40" customFormat="1" ht="15">
      <c r="B72" s="78" t="s">
        <v>462</v>
      </c>
      <c r="C72" s="78"/>
      <c r="D72" s="78"/>
      <c r="E72" s="78"/>
      <c r="F72" s="78"/>
      <c r="G72" s="78"/>
      <c r="H72" s="78"/>
      <c r="I72" s="78"/>
      <c r="J72" s="78"/>
      <c r="K72" s="136"/>
      <c r="L72" s="39"/>
    </row>
    <row r="73" spans="2:11" ht="12">
      <c r="B73" s="3"/>
      <c r="C73" s="3"/>
      <c r="D73" s="3"/>
      <c r="E73" s="3"/>
      <c r="F73" s="3"/>
      <c r="G73" s="3"/>
      <c r="H73" s="3"/>
      <c r="I73" s="3"/>
      <c r="J73" s="3"/>
      <c r="K73" s="74"/>
    </row>
    <row r="74" spans="2:11" ht="24">
      <c r="B74" s="3"/>
      <c r="C74" s="3"/>
      <c r="D74" s="3"/>
      <c r="E74" s="3"/>
      <c r="F74" s="3"/>
      <c r="G74" s="3"/>
      <c r="H74" s="3"/>
      <c r="I74" s="537" t="s">
        <v>388</v>
      </c>
      <c r="J74" s="79">
        <f>F7</f>
        <v>230</v>
      </c>
      <c r="K74" s="74"/>
    </row>
    <row r="75" spans="2:11" ht="12">
      <c r="B75" s="3"/>
      <c r="C75" s="3"/>
      <c r="D75" s="3"/>
      <c r="E75" s="3"/>
      <c r="F75" s="3"/>
      <c r="G75" s="3"/>
      <c r="H75" s="3"/>
      <c r="I75" s="3" t="s">
        <v>389</v>
      </c>
      <c r="J75" s="73">
        <f>(J74*43560)</f>
        <v>10018800</v>
      </c>
      <c r="K75" s="74" t="s">
        <v>561</v>
      </c>
    </row>
    <row r="76" spans="2:11" ht="24">
      <c r="B76" s="3"/>
      <c r="C76" s="3"/>
      <c r="D76" s="3"/>
      <c r="E76" s="3"/>
      <c r="F76" s="3"/>
      <c r="G76" s="3"/>
      <c r="H76" s="3"/>
      <c r="I76" s="537" t="s">
        <v>390</v>
      </c>
      <c r="J76" s="73">
        <v>3614</v>
      </c>
      <c r="K76" s="74" t="s">
        <v>445</v>
      </c>
    </row>
    <row r="77" spans="2:11" ht="12">
      <c r="B77" s="3"/>
      <c r="C77" s="3"/>
      <c r="D77" s="3"/>
      <c r="E77" s="3"/>
      <c r="F77" s="3"/>
      <c r="G77" s="3"/>
      <c r="H77" s="3"/>
      <c r="I77" s="3"/>
      <c r="J77" s="3"/>
      <c r="K77" s="74"/>
    </row>
    <row r="78" spans="2:11" ht="24">
      <c r="B78" s="3"/>
      <c r="C78" s="3"/>
      <c r="D78" s="3"/>
      <c r="E78" s="3"/>
      <c r="F78" s="3"/>
      <c r="G78" s="3"/>
      <c r="H78" s="3"/>
      <c r="I78" s="537" t="s">
        <v>446</v>
      </c>
      <c r="J78" s="73">
        <f>J76*4</f>
        <v>14456</v>
      </c>
      <c r="K78" s="74" t="s">
        <v>408</v>
      </c>
    </row>
    <row r="79" spans="2:11" ht="12">
      <c r="B79" s="3"/>
      <c r="C79" s="3"/>
      <c r="D79" s="3"/>
      <c r="E79" s="3"/>
      <c r="F79" s="3"/>
      <c r="G79" s="3"/>
      <c r="H79" s="3"/>
      <c r="I79" s="3"/>
      <c r="J79" s="73"/>
      <c r="K79" s="74"/>
    </row>
    <row r="80" spans="2:11" ht="24">
      <c r="B80" s="3"/>
      <c r="C80" s="3"/>
      <c r="D80" s="3"/>
      <c r="E80" s="3"/>
      <c r="F80" s="3"/>
      <c r="G80" s="3"/>
      <c r="H80" s="3"/>
      <c r="I80" s="537" t="s">
        <v>591</v>
      </c>
      <c r="J80" s="73">
        <f>1807*4</f>
        <v>7228</v>
      </c>
      <c r="K80" s="74" t="s">
        <v>408</v>
      </c>
    </row>
    <row r="81" spans="2:11" ht="12">
      <c r="B81" s="3"/>
      <c r="C81" s="3"/>
      <c r="D81" s="3"/>
      <c r="E81" s="3"/>
      <c r="F81" s="3"/>
      <c r="G81" s="3"/>
      <c r="H81" s="3"/>
      <c r="I81" s="3"/>
      <c r="J81" s="73"/>
      <c r="K81" s="74"/>
    </row>
    <row r="82" spans="2:11" ht="12">
      <c r="B82" s="3"/>
      <c r="C82" s="3"/>
      <c r="D82" s="3"/>
      <c r="E82" s="3"/>
      <c r="F82" s="3"/>
      <c r="G82" s="3"/>
      <c r="H82" s="3"/>
      <c r="I82" s="3" t="s">
        <v>592</v>
      </c>
      <c r="J82" s="73">
        <f>2408*2</f>
        <v>4816</v>
      </c>
      <c r="K82" s="74" t="s">
        <v>408</v>
      </c>
    </row>
    <row r="83" spans="2:11" ht="12">
      <c r="B83" s="3"/>
      <c r="C83" s="3"/>
      <c r="D83" s="3"/>
      <c r="E83" s="3"/>
      <c r="F83" s="3"/>
      <c r="G83" s="3"/>
      <c r="H83" s="3"/>
      <c r="I83" s="3"/>
      <c r="J83" s="3"/>
      <c r="K83" s="74"/>
    </row>
    <row r="84" spans="2:11" ht="12">
      <c r="B84" s="3"/>
      <c r="C84" s="3"/>
      <c r="D84" s="3"/>
      <c r="E84" s="3"/>
      <c r="F84" s="3"/>
      <c r="G84" s="3"/>
      <c r="H84" s="3"/>
      <c r="I84" s="3" t="s">
        <v>249</v>
      </c>
      <c r="J84" s="3"/>
      <c r="K84" s="74">
        <v>6</v>
      </c>
    </row>
    <row r="85" spans="2:11" ht="12">
      <c r="B85" s="3"/>
      <c r="C85" s="3"/>
      <c r="D85" s="3"/>
      <c r="E85" s="3"/>
      <c r="F85" s="3"/>
      <c r="G85" s="3"/>
      <c r="H85" s="3"/>
      <c r="I85" s="3"/>
      <c r="J85" s="3"/>
      <c r="K85" s="74"/>
    </row>
    <row r="86" spans="2:11" ht="12">
      <c r="B86" s="3"/>
      <c r="C86" s="3"/>
      <c r="D86" s="3"/>
      <c r="E86" s="3"/>
      <c r="F86" s="3"/>
      <c r="G86" s="3"/>
      <c r="H86" s="3"/>
      <c r="I86" s="3" t="s">
        <v>607</v>
      </c>
      <c r="J86" s="3"/>
      <c r="K86" s="74">
        <v>12</v>
      </c>
    </row>
    <row r="87" spans="2:11" ht="12">
      <c r="B87" s="3"/>
      <c r="C87" s="3"/>
      <c r="D87" s="3"/>
      <c r="E87" s="3"/>
      <c r="F87" s="3"/>
      <c r="G87" s="3"/>
      <c r="H87" s="3"/>
      <c r="I87" s="3"/>
      <c r="J87" s="3"/>
      <c r="K87" s="74"/>
    </row>
    <row r="88" spans="2:11" ht="36">
      <c r="B88" s="3"/>
      <c r="C88" s="3"/>
      <c r="D88" s="3"/>
      <c r="E88" s="3"/>
      <c r="F88" s="3"/>
      <c r="G88" s="3"/>
      <c r="H88" s="3"/>
      <c r="I88" s="537" t="s">
        <v>451</v>
      </c>
      <c r="J88" s="3"/>
      <c r="K88" s="74">
        <v>6</v>
      </c>
    </row>
    <row r="89" spans="2:11" ht="12">
      <c r="B89" s="3"/>
      <c r="C89" s="3"/>
      <c r="D89" s="3"/>
      <c r="E89" s="3"/>
      <c r="F89" s="3"/>
      <c r="G89" s="3"/>
      <c r="H89" s="3"/>
      <c r="I89" s="3"/>
      <c r="J89" s="3"/>
      <c r="K89" s="74"/>
    </row>
    <row r="90" spans="2:11" ht="12">
      <c r="B90" s="3"/>
      <c r="C90" s="3"/>
      <c r="D90" s="3"/>
      <c r="E90" s="3"/>
      <c r="F90" s="3"/>
      <c r="G90" s="3"/>
      <c r="H90" s="3"/>
      <c r="I90" s="814" t="s">
        <v>608</v>
      </c>
      <c r="J90" s="815"/>
      <c r="K90" s="538">
        <f>J82*2</f>
        <v>9632</v>
      </c>
    </row>
    <row r="91" spans="2:11" ht="12">
      <c r="B91" s="3"/>
      <c r="C91" s="3"/>
      <c r="D91" s="3"/>
      <c r="E91" s="3"/>
      <c r="F91" s="3"/>
      <c r="G91" s="3"/>
      <c r="H91" s="3"/>
      <c r="I91" s="815"/>
      <c r="J91" s="815"/>
      <c r="K91" s="74"/>
    </row>
    <row r="92" spans="2:11" ht="12">
      <c r="B92" s="3"/>
      <c r="C92" s="3"/>
      <c r="D92" s="3"/>
      <c r="E92" s="3"/>
      <c r="F92" s="3"/>
      <c r="G92" s="3"/>
      <c r="H92" s="3"/>
      <c r="I92" s="3"/>
      <c r="J92" s="3"/>
      <c r="K92" s="74"/>
    </row>
    <row r="93" spans="2:11" ht="12">
      <c r="B93" s="3"/>
      <c r="C93" s="3"/>
      <c r="D93" s="3"/>
      <c r="E93" s="3"/>
      <c r="F93" s="3"/>
      <c r="G93" s="3"/>
      <c r="H93" s="3"/>
      <c r="I93" s="3"/>
      <c r="J93" s="3"/>
      <c r="K93" s="74"/>
    </row>
    <row r="94" spans="2:11" ht="12">
      <c r="B94" s="3"/>
      <c r="C94" s="3"/>
      <c r="D94" s="3"/>
      <c r="E94" s="3"/>
      <c r="F94" s="3"/>
      <c r="G94" s="3"/>
      <c r="H94" s="3"/>
      <c r="I94" s="3"/>
      <c r="J94" s="3"/>
      <c r="K94" s="74"/>
    </row>
    <row r="95" spans="2:11" ht="12">
      <c r="B95" s="3"/>
      <c r="C95" s="3"/>
      <c r="D95" s="3"/>
      <c r="E95" s="3"/>
      <c r="F95" s="3"/>
      <c r="G95" s="3"/>
      <c r="H95" s="3"/>
      <c r="I95" s="3"/>
      <c r="J95" s="3"/>
      <c r="K95" s="74"/>
    </row>
    <row r="96" spans="2:11" ht="12">
      <c r="B96" s="3"/>
      <c r="C96" s="3"/>
      <c r="D96" s="3"/>
      <c r="E96" s="3"/>
      <c r="F96" s="3"/>
      <c r="G96" s="3"/>
      <c r="H96" s="3"/>
      <c r="I96" s="3"/>
      <c r="J96" s="3"/>
      <c r="K96" s="74"/>
    </row>
    <row r="97" spans="2:11" ht="12">
      <c r="B97" s="3"/>
      <c r="C97" s="3"/>
      <c r="D97" s="3"/>
      <c r="E97" s="3"/>
      <c r="F97" s="3"/>
      <c r="G97" s="3"/>
      <c r="H97" s="3"/>
      <c r="I97" s="3"/>
      <c r="J97" s="3"/>
      <c r="K97" s="74"/>
    </row>
    <row r="98" spans="2:11" ht="12">
      <c r="B98" s="3"/>
      <c r="C98" s="3" t="s">
        <v>593</v>
      </c>
      <c r="D98" s="3"/>
      <c r="E98" s="3"/>
      <c r="F98" s="3">
        <v>20</v>
      </c>
      <c r="G98" s="3" t="s">
        <v>594</v>
      </c>
      <c r="H98" s="80">
        <v>87.2</v>
      </c>
      <c r="I98" s="80">
        <f>H98*F98</f>
        <v>1744</v>
      </c>
      <c r="J98" s="3"/>
      <c r="K98" s="74"/>
    </row>
    <row r="99" spans="2:11" ht="12">
      <c r="B99" s="3"/>
      <c r="C99" s="3"/>
      <c r="D99" s="3"/>
      <c r="E99" s="3"/>
      <c r="F99" s="3">
        <v>1</v>
      </c>
      <c r="G99" s="3" t="s">
        <v>595</v>
      </c>
      <c r="H99" s="3"/>
      <c r="I99" s="80">
        <v>625</v>
      </c>
      <c r="J99" s="3"/>
      <c r="K99" s="74"/>
    </row>
    <row r="100" spans="2:11" ht="12">
      <c r="B100" s="3"/>
      <c r="C100" s="3"/>
      <c r="D100" s="3"/>
      <c r="E100" s="3"/>
      <c r="F100" s="3"/>
      <c r="G100" s="3"/>
      <c r="H100" s="3" t="s">
        <v>176</v>
      </c>
      <c r="I100" s="80">
        <f>SUM(I98:I99)</f>
        <v>2369</v>
      </c>
      <c r="J100" s="3"/>
      <c r="K100" s="74"/>
    </row>
    <row r="101" spans="2:11" ht="12">
      <c r="B101" s="3"/>
      <c r="C101" s="3"/>
      <c r="D101" s="3"/>
      <c r="E101" s="3"/>
      <c r="F101" s="3"/>
      <c r="G101" s="3"/>
      <c r="H101" s="3"/>
      <c r="I101" s="3"/>
      <c r="J101" s="3"/>
      <c r="K101" s="74"/>
    </row>
    <row r="102" spans="2:11" ht="12">
      <c r="B102" s="3"/>
      <c r="C102" s="3"/>
      <c r="D102" s="3"/>
      <c r="E102" s="3"/>
      <c r="F102" s="3" t="s">
        <v>596</v>
      </c>
      <c r="G102" s="3"/>
      <c r="H102" s="3"/>
      <c r="I102" s="3"/>
      <c r="J102" s="3"/>
      <c r="K102" s="74"/>
    </row>
    <row r="103" spans="2:11" ht="12">
      <c r="B103" s="3"/>
      <c r="C103" s="3"/>
      <c r="D103" s="3"/>
      <c r="E103" s="3"/>
      <c r="F103" s="3"/>
      <c r="G103" s="3"/>
      <c r="H103" s="3"/>
      <c r="I103" s="3"/>
      <c r="J103" s="3"/>
      <c r="K103" s="74"/>
    </row>
    <row r="104" spans="2:11" ht="12">
      <c r="B104" s="3"/>
      <c r="C104" s="3"/>
      <c r="E104" s="3"/>
      <c r="F104" s="3"/>
      <c r="G104" s="3"/>
      <c r="H104" s="3"/>
      <c r="I104" s="3"/>
      <c r="J104" s="3"/>
      <c r="K104" s="74"/>
    </row>
    <row r="105" spans="1:12" ht="12">
      <c r="A105" s="134"/>
      <c r="C105" s="9"/>
      <c r="D105" s="9"/>
      <c r="E105" s="9"/>
      <c r="F105" s="9"/>
      <c r="G105" s="9"/>
      <c r="H105" s="9"/>
      <c r="I105" s="9"/>
      <c r="J105" s="9"/>
      <c r="K105" s="9"/>
      <c r="L105" s="9"/>
    </row>
    <row r="106" spans="1:12" ht="12">
      <c r="A106" s="134"/>
      <c r="C106" s="9"/>
      <c r="D106" s="9"/>
      <c r="E106" s="9"/>
      <c r="F106" s="9"/>
      <c r="G106" s="9"/>
      <c r="H106" s="9"/>
      <c r="I106" s="9"/>
      <c r="J106" s="9"/>
      <c r="K106" s="9"/>
      <c r="L106" s="9"/>
    </row>
  </sheetData>
  <sheetProtection sheet="1" objects="1" scenarios="1" selectLockedCells="1"/>
  <mergeCells count="5">
    <mergeCell ref="A5:J5"/>
    <mergeCell ref="I90:J91"/>
    <mergeCell ref="D44:J44"/>
    <mergeCell ref="C47:J47"/>
    <mergeCell ref="C49:J49"/>
  </mergeCells>
  <printOptions/>
  <pageMargins left="0.7800000000000001" right="0" top="1" bottom="1" header="0.5" footer="0.5"/>
  <pageSetup horizontalDpi="600" verticalDpi="600" orientation="portrait"/>
  <rowBreaks count="2" manualBreakCount="2">
    <brk id="33" max="255" man="1"/>
    <brk id="70"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Manitoba</dc:creator>
  <cp:keywords/>
  <dc:description/>
  <cp:lastModifiedBy>apple</cp:lastModifiedBy>
  <cp:lastPrinted>2009-07-03T01:56:48Z</cp:lastPrinted>
  <dcterms:created xsi:type="dcterms:W3CDTF">2000-01-22T15:27:00Z</dcterms:created>
  <dcterms:modified xsi:type="dcterms:W3CDTF">2009-07-07T14:34:11Z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